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PNHQ - 445\Assurance Group\ETH Ethics\Commissioner expenses\2023-24\"/>
    </mc:Choice>
  </mc:AlternateContent>
  <xr:revisionPtr revIDLastSave="0" documentId="8_{2F827A9D-EB86-4A4F-8B32-5430BDE46ED6}" xr6:coauthVersionLast="47" xr6:coauthVersionMax="47" xr10:uidLastSave="{00000000-0000-0000-0000-000000000000}"/>
  <bookViews>
    <workbookView xWindow="-110" yWindow="-110" windowWidth="19420" windowHeight="10420" firstSheet="1"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expenses'!$A$1:$E$44</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3" i="1" l="1"/>
  <c r="B153" i="1"/>
  <c r="B25" i="1"/>
  <c r="B83" i="1"/>
  <c r="B28" i="1"/>
  <c r="B85" i="1"/>
  <c r="B57" i="1"/>
  <c r="B36" i="1"/>
  <c r="B26" i="1" l="1"/>
  <c r="B24" i="1"/>
  <c r="B15" i="1" l="1"/>
  <c r="B13" i="1"/>
  <c r="B111" i="1" l="1"/>
  <c r="B107" i="1"/>
  <c r="B96" i="1"/>
  <c r="B94" i="1" l="1"/>
  <c r="B92" i="1"/>
  <c r="B87" i="1"/>
  <c r="B54" i="1"/>
  <c r="B50" i="1"/>
  <c r="B102" i="1"/>
  <c r="B90" i="1"/>
  <c r="B89" i="1"/>
  <c r="B88" i="1"/>
  <c r="B84" i="1"/>
  <c r="B82" i="1"/>
  <c r="B68" i="1"/>
  <c r="B67" i="1"/>
  <c r="B70" i="1"/>
  <c r="B53" i="1"/>
  <c r="B51" i="1"/>
  <c r="B43" i="1"/>
  <c r="B38" i="1"/>
  <c r="B40" i="1"/>
  <c r="B39" i="1"/>
  <c r="D25" i="4"/>
  <c r="C38" i="3"/>
  <c r="C25" i="2"/>
  <c r="C187" i="1"/>
  <c r="C29" i="1" l="1"/>
  <c r="C168" i="1"/>
  <c r="B6" i="13"/>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8" i="3" s="1"/>
  <c r="F57" i="13"/>
  <c r="D187" i="1" s="1"/>
  <c r="F56" i="13"/>
  <c r="D168" i="1" s="1"/>
  <c r="F55" i="13"/>
  <c r="D29" i="1" s="1"/>
  <c r="C13" i="13"/>
  <c r="C12" i="13"/>
  <c r="C11" i="13"/>
  <c r="C16" i="13" l="1"/>
  <c r="C17" i="13"/>
  <c r="B5" i="4" l="1"/>
  <c r="B4" i="4"/>
  <c r="B5" i="3"/>
  <c r="B4" i="3"/>
  <c r="B5" i="2"/>
  <c r="B4" i="2"/>
  <c r="B5" i="1"/>
  <c r="B4" i="1"/>
  <c r="C15" i="13" l="1"/>
  <c r="F12" i="13" l="1"/>
  <c r="C25" i="4"/>
  <c r="F11" i="13" s="1"/>
  <c r="F13" i="13" l="1"/>
  <c r="B187" i="1"/>
  <c r="B17" i="13" s="1"/>
  <c r="B168" i="1"/>
  <c r="B16" i="13" s="1"/>
  <c r="B29" i="1"/>
  <c r="B15" i="13" s="1"/>
  <c r="B38" i="3" l="1"/>
  <c r="B13" i="13" s="1"/>
  <c r="B25" i="2"/>
  <c r="B12" i="13" s="1"/>
  <c r="B11" i="13" l="1"/>
  <c r="B1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7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<sst xmlns="http://schemas.openxmlformats.org/spreadsheetml/2006/main" count="506" uniqueCount="289">
  <si>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</si>
  <si>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</si>
  <si>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</si>
  <si>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</si>
  <si>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</si>
  <si>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</si>
  <si>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</si>
  <si>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</si>
  <si>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</si>
  <si>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</si>
  <si>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</si>
  <si>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</si>
  <si>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</si>
  <si>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</si>
  <si>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</si>
  <si>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</si>
  <si>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</si>
  <si>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</si>
  <si>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</si>
  <si>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</si>
  <si>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</si>
  <si>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</si>
  <si>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</si>
  <si>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</si>
  <si>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</si>
  <si>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</si>
  <si>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</si>
  <si>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</si>
  <si>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</si>
  <si>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</si>
  <si>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</si>
  <si>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</si>
  <si>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</si>
  <si>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</si>
  <si>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</si>
  <si>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</si>
  <si>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</si>
  <si>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</si>
  <si>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</si>
  <si>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</si>
  <si>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</si>
  <si>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</si>
  <si>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</si>
  <si>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</si>
  <si>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</si>
  <si>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</si>
  <si>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</si>
  <si>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</si>
  <si>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</si>
  <si>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</si>
  <si>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</si>
  <si>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</si>
  <si>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</si>
  <si>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</si>
  <si>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</si>
  <si>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</si>
  <si>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</si>
  <si>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</si>
  <si>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</si>
  <si>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</si>
  <si>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</si>
  <si>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</si>
  <si>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</si>
  <si>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</si>
  <si>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</si>
  <si>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</si>
  <si>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</si>
  <si>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</si>
  <si>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</si>
  <si>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</si>
  <si>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</si>
  <si>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</si>
  <si>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</si>
  <si>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</si>
  <si>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</si>
  <si>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</si>
  <si>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</si>
  <si>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</si>
  <si>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</si>
  <si>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</si>
  <si>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</si>
  <si>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</si>
  <si>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</si>
  <si>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</si>
  <si>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</si>
  <si>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</si>
  <si>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</si>
  <si>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</si>
  <si>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</si>
  <si>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</si>
  <si>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</si>
  <si>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</si>
  <si>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</si>
  <si>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</si>
  <si>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</si>
  <si>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</si>
  <si>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</si>
  <si>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</si>
  <si>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</si>
  <si>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</si>
  <si>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</si>
  <si>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</si>
  <si>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</si>
  <si>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</si>
  <si>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</si>
  <si>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</si>
  <si>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</si>
  <si>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</si>
  <si>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</si>
  <si>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</si>
  <si>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</si>
  <si>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</si>
  <si>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</si>
  <si>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</si>
  <si>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</si>
  <si>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</si>
  <si>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</si>
  <si>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</si>
  <si>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</si>
  <si>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</si>
  <si>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</si>
  <si>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</si>
  <si>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</si>
  <si>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</si>
  <si>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</si>
  <si>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</si>
  <si>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</si>
  <si>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</si>
  <si>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</si>
  <si>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</si>
  <si>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</si>
  <si>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</si>
  <si>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</si>
  <si>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</si>
  <si>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</si>
  <si>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</si>
  <si>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</si>
  <si>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</si>
  <si>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</si>
  <si>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</si>
  <si>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</si>
  <si>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</si>
  <si>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</si>
  <si>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</si>
  <si>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</si>
  <si>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</si>
  <si>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</si>
  <si>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</si>
  <si>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</si>
  <si>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</si>
  <si>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</si>
  <si>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</si>
  <si>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</si>
  <si>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</si>
  <si>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</si>
  <si>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</si>
  <si>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</si>
  <si>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</si>
  <si>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</si>
  <si>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</si>
  <si>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</si>
  <si>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</si>
  <si>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</si>
  <si>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</si>
  <si>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</si>
  <si>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</si>
  <si>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</si>
  <si>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</si>
  <si>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</si>
  <si>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</si>
  <si>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</si>
  <si>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New Zealand Police</t>
  </si>
  <si>
    <t>Andrew Coster</t>
  </si>
  <si>
    <t>7-10 November 2023</t>
  </si>
  <si>
    <t>19 November - 4 December 2023</t>
  </si>
  <si>
    <t>Cancelled travel to Melbourne</t>
  </si>
  <si>
    <t>Fees</t>
  </si>
  <si>
    <t>Cancelled travel to Europe</t>
  </si>
  <si>
    <t>Airfare</t>
  </si>
  <si>
    <t>Auckland - Wellington - Auckland</t>
  </si>
  <si>
    <t>20-21 July 2023</t>
  </si>
  <si>
    <t>Accommodation</t>
  </si>
  <si>
    <t>Wellington - Christchurch - Wellington - Auckland - Dunedin - Wellington</t>
  </si>
  <si>
    <t>Wellington - Auckland - Wellington</t>
  </si>
  <si>
    <t>Rental car</t>
  </si>
  <si>
    <t>2-3 August 2023</t>
  </si>
  <si>
    <t>Wellington - Napier - Wellington</t>
  </si>
  <si>
    <t>Wellington - Dunedin - Wellington</t>
  </si>
  <si>
    <t>5-6 September 2023</t>
  </si>
  <si>
    <t>26-27 September 2023</t>
  </si>
  <si>
    <t>24-25 October 2023</t>
  </si>
  <si>
    <t>Bay of Plenty District Commissioner's Forum</t>
  </si>
  <si>
    <t>Eastern District Commissioner's Forum</t>
  </si>
  <si>
    <t>16-17 August 2023</t>
  </si>
  <si>
    <t xml:space="preserve">Bay of Plenty District visit </t>
  </si>
  <si>
    <t>Canterbury and Auckland City District visits (multiple changes due to incident)</t>
  </si>
  <si>
    <t>Auckland City District Commissioner's Forum</t>
  </si>
  <si>
    <t>Canterbury District Commissioner's Forum, Tasman District visit</t>
  </si>
  <si>
    <t>Commissioner's Ethnic Focus Forum</t>
  </si>
  <si>
    <t>Commissioner's Pacific Focus Forum</t>
  </si>
  <si>
    <t>ANZPCF/IWPC</t>
  </si>
  <si>
    <t>17-19 September 2023</t>
  </si>
  <si>
    <t>Southern District visit</t>
  </si>
  <si>
    <t>1-2 December 2023</t>
  </si>
  <si>
    <t>12-13 December 2023</t>
  </si>
  <si>
    <t>Auckland City District visit, Kingitanga 165 year celebration</t>
  </si>
  <si>
    <t>Politik subscription</t>
  </si>
  <si>
    <t>Subscription</t>
  </si>
  <si>
    <t>Queenstown</t>
  </si>
  <si>
    <t>Auckland</t>
  </si>
  <si>
    <t>Wellington</t>
  </si>
  <si>
    <t>Havelock North</t>
  </si>
  <si>
    <t>Parking</t>
  </si>
  <si>
    <t>Food</t>
  </si>
  <si>
    <t xml:space="preserve">Parking </t>
  </si>
  <si>
    <t>Paihia</t>
  </si>
  <si>
    <t>Waitangi Day celebrations</t>
  </si>
  <si>
    <t>Canterbury District Commissioner's Forum</t>
  </si>
  <si>
    <t>Blenheim</t>
  </si>
  <si>
    <t>Tasman District visit</t>
  </si>
  <si>
    <t>Christchurch Airport</t>
  </si>
  <si>
    <t>Wellignton - Hamilton - by road to Rotorua - Hamilton - Wellington</t>
  </si>
  <si>
    <t>Wellington - Auckland - by road to Tauranga - Wellington</t>
  </si>
  <si>
    <t>Wellington - Christchurch - Blenheim - by road to Nelson - Wellington</t>
  </si>
  <si>
    <t>Wellington - Invercargill - by road to Queenstown -  Wellington</t>
  </si>
  <si>
    <t>Cancelled travel to Auckland</t>
  </si>
  <si>
    <t>Cancelled travel to Hamilton</t>
  </si>
  <si>
    <t>Cancelled travel to Christchurch</t>
  </si>
  <si>
    <t>Lunch for external interview panel - DCE Iwi &amp; Community</t>
  </si>
  <si>
    <t>Messing</t>
  </si>
  <si>
    <t>Institute of Directors Member Subscription</t>
  </si>
  <si>
    <t>NZPA Conference</t>
  </si>
  <si>
    <t>Breakfast meeting - Chief Executive's meeting Mentally Healthy work programme</t>
  </si>
  <si>
    <t>Eastern District - Cyclone Gabrielle awards</t>
  </si>
  <si>
    <t>Fijian delegation dinner</t>
  </si>
  <si>
    <t>Meeting in CBD</t>
  </si>
  <si>
    <t>26-27 January 2024</t>
  </si>
  <si>
    <t>Cyclone Gabrielle anniversary</t>
  </si>
  <si>
    <t>Wellington - Kerikeri - Wellington</t>
  </si>
  <si>
    <t>3-6 February 2024</t>
  </si>
  <si>
    <t>Counties Manukau District visit with Minister of Police</t>
  </si>
  <si>
    <t>28-29 February 2024</t>
  </si>
  <si>
    <t>Northland District visit</t>
  </si>
  <si>
    <t>Wellington - Auckland  Wellington</t>
  </si>
  <si>
    <t>Wellington - Whangarei - Wellignton</t>
  </si>
  <si>
    <t>Wellington - Hamilton - Wellington</t>
  </si>
  <si>
    <t>Waikato District visit</t>
  </si>
  <si>
    <t>14-16 March 2024</t>
  </si>
  <si>
    <t>Wellington - Christchurch - Wellington</t>
  </si>
  <si>
    <t>11-13 April 2024</t>
  </si>
  <si>
    <t>Cancelled travel to Nelson</t>
  </si>
  <si>
    <t>23-24 May 2024</t>
  </si>
  <si>
    <t>Cancelled travel to Dunedin</t>
  </si>
  <si>
    <t>4-5 June 2024</t>
  </si>
  <si>
    <t>Wellington - Auckland - Palmerston North</t>
  </si>
  <si>
    <t>12-14 March 2024</t>
  </si>
  <si>
    <t>ANZPAA conference</t>
  </si>
  <si>
    <t>Wellington - Melbourne - Sydney - Christchurch</t>
  </si>
  <si>
    <t xml:space="preserve"> Christchurch - Wellington</t>
  </si>
  <si>
    <t>Wellington - Washington - San Francisco - Beijing - Wellington</t>
  </si>
  <si>
    <t>Cancelled travel to Rotorua</t>
  </si>
  <si>
    <t>28 April - 9 May 2024</t>
  </si>
  <si>
    <t>Media forum</t>
  </si>
  <si>
    <t>Canterbury District visit</t>
  </si>
  <si>
    <t xml:space="preserve">Counties Manukau District visit  </t>
  </si>
  <si>
    <t>Retail Crime announcement with Minister of Police</t>
  </si>
  <si>
    <t>Beat Cops announcement with Minister of Police</t>
  </si>
  <si>
    <t>Taxis</t>
  </si>
  <si>
    <t>Taxi</t>
  </si>
  <si>
    <t>Palmerston North</t>
  </si>
  <si>
    <t>PURE N.R.G.</t>
  </si>
  <si>
    <t>PN Airport Parking</t>
  </si>
  <si>
    <t>Washington DC</t>
  </si>
  <si>
    <t>Parking at airport</t>
  </si>
  <si>
    <t xml:space="preserve">Five Eyes Law Enforcement Group Principals meeting </t>
  </si>
  <si>
    <t>Mascot, NSW</t>
  </si>
  <si>
    <t>Hastings</t>
  </si>
  <si>
    <t>Chief Assurance Officer</t>
  </si>
  <si>
    <t>Five Eyes Law Enforcement Group Principals’ Meeting in Washington DC and then Beijing for bilateral engagements</t>
  </si>
  <si>
    <t>Tangi - Dr Ihakara (Kara) Puketapu</t>
  </si>
  <si>
    <t>Auckland City District visit and presentation of MSM award to Police staff member</t>
  </si>
  <si>
    <t>Staff members' funeral</t>
  </si>
  <si>
    <t>Counties Manukau District awards, Tāmaki Makaurau Commissioner's Forum</t>
  </si>
  <si>
    <t>Accompany Minister of Police for a night shift in Auckland</t>
  </si>
  <si>
    <t>Waitangi Day events</t>
  </si>
  <si>
    <t>Five-year anniversary of terrorist attack on Christchurch masjidain</t>
  </si>
  <si>
    <t>Farewell for two departing members of Assurance and Risk Committee</t>
  </si>
  <si>
    <t>Samoan Police Service delegation dinner</t>
  </si>
  <si>
    <t>Nil to disclose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</si>
</sst>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mmm\ d\,\ yyyy"/>
  </numFmts>
  <fonts count="4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9.8000000000000007"/>
      <color rgb="FF333333"/>
      <name val="Andale WT"/>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medium">
        <color rgb="FFE2E3E3"/>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8">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2" borderId="3" xfId="0" applyNumberFormat="1" applyFont="1" applyFill="1" applyBorder="1" applyAlignment="1" applyProtection="1">
      <alignment horizontal="left" vertical="center"/>
      <protection locked="0"/>
    </xf>
    <xf numFmtId="0" fontId="15" fillId="12" borderId="5" xfId="0" applyFont="1" applyFill="1" applyBorder="1" applyAlignment="1" applyProtection="1">
      <alignment vertical="center" wrapText="1"/>
      <protection locked="0"/>
    </xf>
    <xf numFmtId="0" fontId="39" fillId="10" borderId="4" xfId="0" applyFont="1" applyFill="1" applyBorder="1" applyAlignment="1" applyProtection="1">
      <alignment vertical="center" wrapText="1"/>
      <protection locked="0"/>
    </xf>
    <xf numFmtId="164" fontId="0" fillId="0" borderId="0" xfId="0" applyNumberFormat="1" applyAlignment="1" applyProtection="1">
      <alignment wrapText="1"/>
      <protection locked="0"/>
    </xf>
    <xf numFmtId="167" fontId="15" fillId="12" borderId="3" xfId="0" applyNumberFormat="1" applyFont="1" applyFill="1" applyBorder="1" applyAlignment="1" applyProtection="1">
      <alignment horizontal="left" vertical="center" wrapText="1"/>
      <protection locked="0"/>
    </xf>
    <xf numFmtId="0" fontId="15" fillId="0" borderId="4" xfId="0" applyFont="1" applyFill="1" applyBorder="1" applyAlignment="1" applyProtection="1">
      <alignment vertical="center" wrapText="1"/>
      <protection locked="0"/>
    </xf>
    <xf numFmtId="164" fontId="15" fillId="10" borderId="3" xfId="0" applyNumberFormat="1" applyFont="1" applyFill="1" applyBorder="1" applyAlignment="1" applyProtection="1">
      <alignment vertical="center" wrapText="1"/>
      <protection locked="0"/>
    </xf>
    <xf numFmtId="0" fontId="15" fillId="10" borderId="3" xfId="0" applyFont="1" applyFill="1" applyBorder="1" applyAlignment="1" applyProtection="1">
      <alignment vertical="center" wrapText="1"/>
      <protection locked="0"/>
    </xf>
    <xf numFmtId="0" fontId="40" fillId="13" borderId="11" xfId="0" applyFont="1" applyFill="1" applyBorder="1" applyAlignment="1" applyProtection="1">
      <alignment horizontal="left" vertical="top"/>
      <protection locked="0"/>
    </xf>
    <xf numFmtId="168" fontId="40" fillId="13" borderId="11" xfId="0" applyNumberFormat="1" applyFont="1" applyFill="1" applyBorder="1" applyAlignment="1" applyProtection="1">
      <alignment horizontal="right" vertical="top"/>
      <protection locked="0"/>
    </xf>
    <xf numFmtId="4" fontId="40" fillId="13" borderId="11" xfId="0" applyNumberFormat="1" applyFont="1" applyFill="1" applyBorder="1" applyAlignment="1" applyProtection="1">
      <alignment horizontal="right" vertical="top"/>
      <protection locked="0"/>
    </xf>
    <xf numFmtId="164" fontId="0" fillId="0" borderId="0" xfId="0" applyNumberFormat="1" applyFill="1" applyAlignment="1" applyProtection="1">
      <alignment wrapText="1"/>
      <protection locked="0"/>
    </xf>
    <xf numFmtId="164" fontId="0" fillId="11" borderId="0" xfId="0" applyNumberFormat="1" applyFill="1" applyAlignment="1" applyProtection="1">
      <alignment wrapText="1"/>
      <protection locked="0"/>
    </xf>
    <xf numFmtId="0" fontId="0" fillId="0" borderId="0" xfId="0" applyFill="1" applyAlignment="1" applyProtection="1">
      <alignment wrapText="1"/>
      <protection locked="0"/>
    </xf>
    <xf numFmtId="0" fontId="39" fillId="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4" zoomScaleNormal="100" workbookViewId="0">
      <selection activeCell="A41" sqref="A41"/>
    </sheetView>
  </sheetViews>
  <sheetFormatPr defaultColWidth="0" defaultRowHeight="14" zeroHeight="1"/>
  <cols>
    <col min="1" max="1" width="219.26953125" style="41" customWidth="1"/>
    <col min="2" max="2" width="33.26953125" style="40" customWidth="1"/>
    <col min="3" max="16384" width="8.7265625" hidden="1"/>
  </cols>
  <sheetData>
    <row r="1" spans="1:2" ht="23.25" customHeight="1">
      <c r="A1" s="39" t="s">
        <v>0</v>
      </c>
    </row>
    <row r="2" spans="1:2" ht="33" customHeight="1">
      <c r="A2" s="103" t="s">
        <v>1</v>
      </c>
    </row>
    <row r="3" spans="1:2" ht="17.25" customHeight="1"/>
    <row r="4" spans="1:2" ht="23.25" customHeight="1">
      <c r="A4" s="12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31" t="s">
        <v>46</v>
      </c>
    </row>
    <row r="55" spans="1:1" ht="17.25" customHeight="1">
      <c r="A55" s="50" t="s">
        <v>47</v>
      </c>
    </row>
    <row r="56" spans="1:1" ht="17.25" customHeight="1">
      <c r="A56" s="51" t="s">
        <v>48</v>
      </c>
    </row>
    <row r="57" spans="1:1" ht="17.25" customHeight="1">
      <c r="A57" s="65" t="s">
        <v>49</v>
      </c>
    </row>
    <row r="58" spans="1:1" ht="17.25" customHeight="1">
      <c r="A58" s="130"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61" zoomScaleNormal="100" workbookViewId="0">
      <selection activeCell="B6" sqref="B6:F6"/>
    </sheetView>
  </sheetViews>
  <sheetFormatPr defaultColWidth="0" defaultRowHeight="12.5" zeroHeight="1"/>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c r="A1" s="150" t="s">
        <v>51</v>
      </c>
      <c r="B1" s="150"/>
      <c r="C1" s="150"/>
      <c r="D1" s="150"/>
      <c r="E1" s="150"/>
      <c r="F1" s="150"/>
      <c r="G1" s="17"/>
      <c r="H1" s="17"/>
      <c r="I1" s="17"/>
      <c r="J1" s="17"/>
      <c r="K1" s="17"/>
    </row>
    <row r="2" spans="1:11" ht="21" customHeight="1">
      <c r="A2" s="3" t="s">
        <v>52</v>
      </c>
      <c r="B2" s="151" t="s">
        <v>171</v>
      </c>
      <c r="C2" s="151"/>
      <c r="D2" s="151"/>
      <c r="E2" s="151"/>
      <c r="F2" s="151"/>
      <c r="G2" s="17"/>
      <c r="H2" s="17"/>
      <c r="I2" s="17"/>
      <c r="J2" s="17"/>
      <c r="K2" s="17"/>
    </row>
    <row r="3" spans="1:11" ht="15.5">
      <c r="A3" s="3" t="s">
        <v>53</v>
      </c>
      <c r="B3" s="151" t="s">
        <v>172</v>
      </c>
      <c r="C3" s="151"/>
      <c r="D3" s="151"/>
      <c r="E3" s="151"/>
      <c r="F3" s="151"/>
      <c r="G3" s="17"/>
      <c r="H3" s="17"/>
      <c r="I3" s="17"/>
      <c r="J3" s="17"/>
      <c r="K3" s="17"/>
    </row>
    <row r="4" spans="1:11" ht="21" customHeight="1">
      <c r="A4" s="3" t="s">
        <v>54</v>
      </c>
      <c r="B4" s="152">
        <v>45108</v>
      </c>
      <c r="C4" s="152"/>
      <c r="D4" s="152"/>
      <c r="E4" s="152"/>
      <c r="F4" s="152"/>
      <c r="G4" s="17"/>
      <c r="H4" s="17"/>
      <c r="I4" s="17"/>
      <c r="J4" s="17"/>
      <c r="K4" s="17"/>
    </row>
    <row r="5" spans="1:11" ht="21" customHeight="1">
      <c r="A5" s="3" t="s">
        <v>55</v>
      </c>
      <c r="B5" s="152">
        <v>45473</v>
      </c>
      <c r="C5" s="152"/>
      <c r="D5" s="152"/>
      <c r="E5" s="152"/>
      <c r="F5" s="152"/>
      <c r="G5" s="17"/>
      <c r="H5" s="17"/>
      <c r="I5" s="17"/>
      <c r="J5" s="17"/>
      <c r="K5" s="17"/>
    </row>
    <row r="6" spans="1:11" ht="21" customHeight="1">
      <c r="A6" s="3" t="s">
        <v>56</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23"/>
      <c r="H6" s="17"/>
      <c r="I6" s="17"/>
      <c r="J6" s="17"/>
      <c r="K6" s="17"/>
    </row>
    <row r="7" spans="1:11" ht="31">
      <c r="A7" s="3" t="s">
        <v>57</v>
      </c>
      <c r="B7" s="148" t="s">
        <v>90</v>
      </c>
      <c r="C7" s="148"/>
      <c r="D7" s="148"/>
      <c r="E7" s="148"/>
      <c r="F7" s="148"/>
      <c r="G7" s="23"/>
      <c r="H7" s="17"/>
      <c r="I7" s="17"/>
      <c r="J7" s="17"/>
      <c r="K7" s="17"/>
    </row>
    <row r="8" spans="1:11" ht="25.5" customHeight="1">
      <c r="A8" s="3" t="s">
        <v>59</v>
      </c>
      <c r="B8" s="148" t="s">
        <v>277</v>
      </c>
      <c r="C8" s="148"/>
      <c r="D8" s="148"/>
      <c r="E8" s="148"/>
      <c r="F8" s="148"/>
      <c r="G8" s="23"/>
      <c r="H8" s="17"/>
      <c r="I8" s="17"/>
      <c r="J8" s="17"/>
      <c r="K8" s="17"/>
    </row>
    <row r="9" spans="1:11" ht="66.75" customHeight="1">
      <c r="A9" s="147" t="s">
        <v>61</v>
      </c>
      <c r="B9" s="147"/>
      <c r="C9" s="147"/>
      <c r="D9" s="147"/>
      <c r="E9" s="147"/>
      <c r="F9" s="147"/>
      <c r="G9" s="23"/>
      <c r="H9" s="17"/>
      <c r="I9" s="17"/>
      <c r="J9" s="17"/>
      <c r="K9" s="17"/>
    </row>
    <row r="10" spans="1:11" s="93" customFormat="1" ht="36" customHeight="1">
      <c r="A10" s="87" t="s">
        <v>62</v>
      </c>
      <c r="B10" s="88" t="s">
        <v>63</v>
      </c>
      <c r="C10" s="88" t="s">
        <v>64</v>
      </c>
      <c r="D10" s="89"/>
      <c r="E10" s="90" t="s">
        <v>29</v>
      </c>
      <c r="F10" s="91" t="s">
        <v>65</v>
      </c>
      <c r="G10" s="92"/>
      <c r="H10" s="92"/>
      <c r="I10" s="92"/>
      <c r="J10" s="92"/>
      <c r="K10" s="92"/>
    </row>
    <row r="11" spans="1:11" ht="27.75" customHeight="1">
      <c r="A11" s="8" t="s">
        <v>66</v>
      </c>
      <c r="B11" s="59">
        <f>B15+B16+B17</f>
        <v>40097.399999999994</v>
      </c>
      <c r="C11" s="66" t="str">
        <f>IF(Travel!B6="",A34,Travel!B6)</f>
        <v>Figures exclude GST</v>
      </c>
      <c r="D11" s="6"/>
      <c r="E11" s="8" t="s">
        <v>67</v>
      </c>
      <c r="F11" s="33">
        <f>'Gifts and benefits'!C25</f>
        <v>0</v>
      </c>
      <c r="G11" s="29"/>
      <c r="H11" s="29"/>
      <c r="I11" s="29"/>
      <c r="J11" s="29"/>
      <c r="K11" s="29"/>
    </row>
    <row r="12" spans="1:11" ht="27.75" customHeight="1">
      <c r="A12" s="8" t="s">
        <v>24</v>
      </c>
      <c r="B12" s="59">
        <f>Hospitality!B25</f>
        <v>0</v>
      </c>
      <c r="C12" s="66" t="str">
        <f>IF(Hospitality!B6="",A34,Hospitality!B6)</f>
        <v>Figures include GST (where applicable)</v>
      </c>
      <c r="D12" s="6"/>
      <c r="E12" s="8" t="s">
        <v>68</v>
      </c>
      <c r="F12" s="33">
        <f>'Gifts and benefits'!C26</f>
        <v>0</v>
      </c>
      <c r="G12" s="29"/>
      <c r="H12" s="29"/>
      <c r="I12" s="29"/>
      <c r="J12" s="29"/>
      <c r="K12" s="29"/>
    </row>
    <row r="13" spans="1:11" ht="27.75" customHeight="1">
      <c r="A13" s="8" t="s">
        <v>69</v>
      </c>
      <c r="B13" s="59">
        <f>'All other expenses'!B38</f>
        <v>1427.8599999999997</v>
      </c>
      <c r="C13" s="66" t="str">
        <f>IF('All other expenses'!B6="",A34,'All other expenses'!B6)</f>
        <v>Figures include GST (where applicable)</v>
      </c>
      <c r="D13" s="6"/>
      <c r="E13" s="8" t="s">
        <v>70</v>
      </c>
      <c r="F13" s="33">
        <f>'Gifts and benefits'!C27</f>
        <v>0</v>
      </c>
      <c r="G13" s="17"/>
      <c r="H13" s="17"/>
      <c r="I13" s="17"/>
      <c r="J13" s="17"/>
      <c r="K13" s="17"/>
    </row>
    <row r="14" spans="1:11" ht="12.75" customHeight="1">
      <c r="A14" s="7"/>
      <c r="B14" s="60"/>
      <c r="C14" s="67"/>
      <c r="D14" s="34"/>
      <c r="E14" s="6"/>
      <c r="F14" s="35"/>
      <c r="G14" s="17"/>
      <c r="H14" s="17"/>
      <c r="I14" s="17"/>
      <c r="J14" s="17"/>
      <c r="K14" s="17"/>
    </row>
    <row r="15" spans="1:11" ht="27.75" customHeight="1">
      <c r="A15" s="9" t="s">
        <v>71</v>
      </c>
      <c r="B15" s="61">
        <f>Travel!B29</f>
        <v>16916.34</v>
      </c>
      <c r="C15" s="68" t="str">
        <f>C11</f>
        <v>Figures exclude GST</v>
      </c>
      <c r="D15" s="6"/>
      <c r="E15" s="6"/>
      <c r="F15" s="35"/>
      <c r="G15" s="17"/>
      <c r="H15" s="17"/>
      <c r="I15" s="17"/>
      <c r="J15" s="17"/>
      <c r="K15" s="17"/>
    </row>
    <row r="16" spans="1:11" ht="27.75" customHeight="1">
      <c r="A16" s="9" t="s">
        <v>72</v>
      </c>
      <c r="B16" s="61">
        <f>Travel!B168</f>
        <v>23181.059999999998</v>
      </c>
      <c r="C16" s="68" t="str">
        <f>C11</f>
        <v>Figures exclude GST</v>
      </c>
      <c r="D16" s="36"/>
      <c r="E16" s="6"/>
      <c r="F16" s="37"/>
      <c r="G16" s="17"/>
      <c r="H16" s="17"/>
      <c r="I16" s="17"/>
      <c r="J16" s="17"/>
      <c r="K16" s="17"/>
    </row>
    <row r="17" spans="1:11" ht="27.75" customHeight="1">
      <c r="A17" s="9" t="s">
        <v>73</v>
      </c>
      <c r="B17" s="61">
        <f>Travel!B187</f>
        <v>0</v>
      </c>
      <c r="C17" s="68"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ht="13">
      <c r="A19" s="18" t="s">
        <v>74</v>
      </c>
      <c r="B19" s="19"/>
      <c r="C19" s="17"/>
      <c r="D19" s="17"/>
      <c r="E19" s="17"/>
      <c r="F19" s="17"/>
      <c r="G19" s="17"/>
      <c r="H19" s="17"/>
      <c r="I19" s="17"/>
      <c r="J19" s="17"/>
      <c r="K19" s="17"/>
    </row>
    <row r="20" spans="1:11">
      <c r="A20" s="20" t="s">
        <v>75</v>
      </c>
      <c r="D20" s="17"/>
      <c r="E20" s="17"/>
      <c r="F20" s="17"/>
      <c r="G20" s="17"/>
      <c r="H20" s="17"/>
      <c r="I20" s="17"/>
      <c r="J20" s="17"/>
      <c r="K20" s="17"/>
    </row>
    <row r="21" spans="1:11" ht="12.65" customHeight="1">
      <c r="A21" s="20" t="s">
        <v>76</v>
      </c>
      <c r="D21" s="17"/>
      <c r="E21" s="17"/>
      <c r="F21" s="17"/>
      <c r="G21" s="17"/>
      <c r="H21" s="17"/>
      <c r="I21" s="17"/>
      <c r="J21" s="17"/>
      <c r="K21" s="17"/>
    </row>
    <row r="22" spans="1:11" ht="12.65" customHeight="1">
      <c r="A22" s="20" t="s">
        <v>77</v>
      </c>
      <c r="D22" s="17"/>
      <c r="E22" s="17"/>
      <c r="F22" s="17"/>
      <c r="G22" s="17"/>
      <c r="H22" s="17"/>
      <c r="I22" s="17"/>
      <c r="J22" s="17"/>
      <c r="K22" s="17"/>
    </row>
    <row r="23" spans="1:11" ht="12.65" customHeight="1">
      <c r="A23" s="20" t="s">
        <v>78</v>
      </c>
      <c r="D23" s="17"/>
      <c r="E23" s="17"/>
      <c r="F23" s="17"/>
      <c r="G23" s="17"/>
      <c r="H23" s="17"/>
      <c r="I23" s="17"/>
      <c r="J23" s="17"/>
      <c r="K23" s="17"/>
    </row>
    <row r="24" spans="1:11">
      <c r="A24" s="26"/>
      <c r="B24" s="17"/>
      <c r="C24" s="17"/>
      <c r="D24" s="17"/>
      <c r="E24" s="17"/>
      <c r="F24" s="17"/>
      <c r="G24" s="17"/>
      <c r="H24" s="17"/>
      <c r="I24" s="17"/>
      <c r="J24" s="17"/>
      <c r="K24" s="17"/>
    </row>
    <row r="25" spans="1:11" ht="13" hidden="1">
      <c r="A25" s="12" t="s">
        <v>79</v>
      </c>
      <c r="B25" s="13"/>
      <c r="C25" s="13"/>
      <c r="D25" s="13"/>
      <c r="E25" s="13"/>
      <c r="F25" s="13"/>
      <c r="G25" s="17"/>
      <c r="H25" s="17"/>
      <c r="I25" s="17"/>
      <c r="J25" s="17"/>
      <c r="K25" s="17"/>
    </row>
    <row r="26" spans="1:11" ht="12.75" hidden="1" customHeight="1">
      <c r="A26" s="11" t="s">
        <v>80</v>
      </c>
      <c r="B26" s="4"/>
      <c r="C26" s="4"/>
      <c r="D26" s="11"/>
      <c r="E26" s="11"/>
      <c r="F26" s="11"/>
      <c r="G26" s="17"/>
      <c r="H26" s="17"/>
      <c r="I26" s="17"/>
      <c r="J26" s="17"/>
      <c r="K26" s="17"/>
    </row>
    <row r="27" spans="1:11" hidden="1">
      <c r="A27" s="10" t="s">
        <v>81</v>
      </c>
      <c r="B27" s="10"/>
      <c r="C27" s="10"/>
      <c r="D27" s="10"/>
      <c r="E27" s="10"/>
      <c r="F27" s="10"/>
      <c r="G27" s="17"/>
      <c r="H27" s="17"/>
      <c r="I27" s="17"/>
      <c r="J27" s="17"/>
      <c r="K27" s="17"/>
    </row>
    <row r="28" spans="1:11" hidden="1">
      <c r="A28" s="10" t="s">
        <v>82</v>
      </c>
      <c r="B28" s="10"/>
      <c r="C28" s="10"/>
      <c r="D28" s="10"/>
      <c r="E28" s="10"/>
      <c r="F28" s="10"/>
      <c r="G28" s="17"/>
      <c r="H28" s="17"/>
      <c r="I28" s="17"/>
      <c r="J28" s="17"/>
      <c r="K28" s="17"/>
    </row>
    <row r="29" spans="1:11" hidden="1">
      <c r="A29" s="11" t="s">
        <v>83</v>
      </c>
      <c r="B29" s="11"/>
      <c r="C29" s="11"/>
      <c r="D29" s="11"/>
      <c r="E29" s="11"/>
      <c r="F29" s="11"/>
      <c r="G29" s="17"/>
      <c r="H29" s="17"/>
      <c r="I29" s="17"/>
      <c r="J29" s="17"/>
      <c r="K29" s="17"/>
    </row>
    <row r="30" spans="1:11" hidden="1">
      <c r="A30" s="11" t="s">
        <v>84</v>
      </c>
      <c r="B30" s="11"/>
      <c r="C30" s="11"/>
      <c r="D30" s="11"/>
      <c r="E30" s="11"/>
      <c r="F30" s="11"/>
      <c r="G30" s="17"/>
      <c r="H30" s="17"/>
      <c r="I30" s="17"/>
      <c r="J30" s="17"/>
      <c r="K30" s="17"/>
    </row>
    <row r="31" spans="1:11" hidden="1">
      <c r="A31" s="10" t="s">
        <v>85</v>
      </c>
      <c r="B31" s="10"/>
      <c r="C31" s="10"/>
      <c r="D31" s="10"/>
      <c r="E31" s="10"/>
      <c r="F31" s="10"/>
      <c r="G31" s="17"/>
      <c r="H31" s="17"/>
      <c r="I31" s="17"/>
      <c r="J31" s="17"/>
      <c r="K31" s="17"/>
    </row>
    <row r="32" spans="1:11" hidden="1">
      <c r="A32" s="10" t="s">
        <v>86</v>
      </c>
      <c r="B32" s="10"/>
      <c r="C32" s="10"/>
      <c r="D32" s="10"/>
      <c r="E32" s="10"/>
      <c r="F32" s="10"/>
      <c r="G32" s="17"/>
      <c r="H32" s="17"/>
      <c r="I32" s="17"/>
      <c r="J32" s="17"/>
      <c r="K32" s="17"/>
    </row>
    <row r="33" spans="1:11" hidden="1">
      <c r="A33" s="10" t="s">
        <v>87</v>
      </c>
      <c r="B33" s="10"/>
      <c r="C33" s="10"/>
      <c r="D33" s="10"/>
      <c r="E33" s="10"/>
      <c r="F33" s="10"/>
      <c r="G33" s="17"/>
      <c r="H33" s="17"/>
      <c r="I33" s="17"/>
      <c r="J33" s="17"/>
      <c r="K33" s="17"/>
    </row>
    <row r="34" spans="1:11" hidden="1">
      <c r="A34" s="11" t="s">
        <v>88</v>
      </c>
      <c r="B34" s="11"/>
      <c r="C34" s="11"/>
      <c r="D34" s="11"/>
      <c r="E34" s="11"/>
      <c r="F34" s="11"/>
      <c r="G34" s="17"/>
      <c r="H34" s="17"/>
      <c r="I34" s="17"/>
      <c r="J34" s="17"/>
      <c r="K34" s="17"/>
    </row>
    <row r="35" spans="1:11" hidden="1">
      <c r="A35" s="11" t="s">
        <v>89</v>
      </c>
      <c r="B35" s="11"/>
      <c r="C35" s="11"/>
      <c r="D35" s="11"/>
      <c r="E35" s="11"/>
      <c r="F35" s="11"/>
      <c r="G35" s="17"/>
      <c r="H35" s="17"/>
      <c r="I35" s="17"/>
      <c r="J35" s="17"/>
      <c r="K35" s="17"/>
    </row>
    <row r="36" spans="1:11" hidden="1">
      <c r="A36" s="10" t="s">
        <v>58</v>
      </c>
      <c r="B36" s="63"/>
      <c r="C36" s="63"/>
      <c r="D36" s="63"/>
      <c r="E36" s="63"/>
      <c r="F36" s="63"/>
      <c r="G36" s="17"/>
      <c r="H36" s="17"/>
      <c r="I36" s="17"/>
      <c r="J36" s="17"/>
      <c r="K36" s="17"/>
    </row>
    <row r="37" spans="1:11" hidden="1">
      <c r="A37" s="10" t="s">
        <v>90</v>
      </c>
      <c r="B37" s="63"/>
      <c r="C37" s="63"/>
      <c r="D37" s="63"/>
      <c r="E37" s="63"/>
      <c r="F37" s="63"/>
      <c r="G37" s="17"/>
      <c r="H37" s="17"/>
      <c r="I37" s="17"/>
      <c r="J37" s="17"/>
      <c r="K37" s="17"/>
    </row>
    <row r="38" spans="1:11" hidden="1">
      <c r="A38" s="10" t="s">
        <v>60</v>
      </c>
      <c r="B38" s="63"/>
      <c r="C38" s="63"/>
      <c r="D38" s="63"/>
      <c r="E38" s="63"/>
      <c r="F38" s="63"/>
      <c r="G38" s="17"/>
      <c r="H38" s="17"/>
      <c r="I38" s="17"/>
      <c r="J38" s="17"/>
      <c r="K38" s="17"/>
    </row>
    <row r="39" spans="1:11" hidden="1">
      <c r="A39" s="11" t="s">
        <v>91</v>
      </c>
      <c r="B39" s="4"/>
      <c r="C39" s="4"/>
      <c r="D39" s="4"/>
      <c r="E39" s="4"/>
      <c r="F39" s="4"/>
      <c r="G39" s="17"/>
      <c r="H39" s="17"/>
      <c r="I39" s="17"/>
      <c r="J39" s="17"/>
      <c r="K39" s="17"/>
    </row>
    <row r="40" spans="1:11" hidden="1">
      <c r="A40" s="4" t="s">
        <v>92</v>
      </c>
      <c r="B40" s="4"/>
      <c r="C40" s="4"/>
      <c r="D40" s="4"/>
      <c r="E40" s="4"/>
      <c r="F40" s="4"/>
      <c r="G40" s="17"/>
      <c r="H40" s="17"/>
      <c r="I40" s="17"/>
      <c r="J40" s="17"/>
      <c r="K40" s="17"/>
    </row>
    <row r="41" spans="1:11" hidden="1">
      <c r="A41" s="4" t="s">
        <v>93</v>
      </c>
      <c r="B41" s="4"/>
      <c r="C41" s="4"/>
      <c r="D41" s="4"/>
      <c r="E41" s="4"/>
      <c r="F41" s="4"/>
      <c r="G41" s="17"/>
      <c r="H41" s="17"/>
      <c r="I41" s="17"/>
      <c r="J41" s="17"/>
      <c r="K41" s="17"/>
    </row>
    <row r="42" spans="1:11" hidden="1">
      <c r="A42" s="4" t="s">
        <v>94</v>
      </c>
      <c r="B42" s="4"/>
      <c r="C42" s="4"/>
      <c r="D42" s="4"/>
      <c r="E42" s="4"/>
      <c r="F42" s="4"/>
      <c r="G42" s="17"/>
      <c r="H42" s="17"/>
      <c r="I42" s="17"/>
      <c r="J42" s="17"/>
      <c r="K42" s="17"/>
    </row>
    <row r="43" spans="1:11" hidden="1">
      <c r="A43" s="4" t="s">
        <v>95</v>
      </c>
      <c r="B43" s="4"/>
      <c r="C43" s="4"/>
      <c r="D43" s="4"/>
      <c r="E43" s="4"/>
      <c r="F43" s="4"/>
      <c r="G43" s="17"/>
      <c r="H43" s="17"/>
      <c r="I43" s="17"/>
      <c r="J43" s="17"/>
      <c r="K43" s="17"/>
    </row>
    <row r="44" spans="1:11" hidden="1">
      <c r="A44" s="4" t="s">
        <v>96</v>
      </c>
      <c r="B44" s="4"/>
      <c r="C44" s="4"/>
      <c r="D44" s="4"/>
      <c r="E44" s="4"/>
      <c r="F44" s="4"/>
      <c r="G44" s="17"/>
      <c r="H44" s="17"/>
      <c r="I44" s="17"/>
      <c r="J44" s="17"/>
      <c r="K44" s="17"/>
    </row>
    <row r="45" spans="1:11" hidden="1">
      <c r="A45" s="64" t="s">
        <v>97</v>
      </c>
      <c r="B45" s="63"/>
      <c r="C45" s="63"/>
      <c r="D45" s="63"/>
      <c r="E45" s="63"/>
      <c r="F45" s="63"/>
      <c r="G45" s="17"/>
      <c r="H45" s="17"/>
      <c r="I45" s="17"/>
      <c r="J45" s="17"/>
      <c r="K45" s="17"/>
    </row>
    <row r="46" spans="1:11" hidden="1">
      <c r="A46" s="63" t="s">
        <v>98</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 hidden="1">
      <c r="A48" s="81" t="s">
        <v>99</v>
      </c>
      <c r="B48" s="63"/>
      <c r="C48" s="63"/>
      <c r="D48" s="63"/>
      <c r="E48" s="63"/>
      <c r="F48" s="63"/>
      <c r="G48" s="17"/>
      <c r="H48" s="17"/>
      <c r="I48" s="17"/>
      <c r="J48" s="17"/>
      <c r="K48" s="17"/>
    </row>
    <row r="49" spans="1:11" ht="25" hidden="1">
      <c r="A49" s="81" t="s">
        <v>100</v>
      </c>
      <c r="B49" s="63"/>
      <c r="C49" s="63"/>
      <c r="D49" s="63"/>
      <c r="E49" s="63"/>
      <c r="F49" s="63"/>
      <c r="G49" s="17"/>
      <c r="H49" s="17"/>
      <c r="I49" s="17"/>
      <c r="J49" s="17"/>
      <c r="K49" s="17"/>
    </row>
    <row r="50" spans="1:11" ht="25" hidden="1">
      <c r="A50" s="82" t="s">
        <v>101</v>
      </c>
      <c r="B50" s="4"/>
      <c r="C50" s="4"/>
      <c r="D50" s="4"/>
      <c r="E50" s="4"/>
      <c r="F50" s="4"/>
      <c r="G50" s="17"/>
      <c r="H50" s="17"/>
      <c r="I50" s="17"/>
      <c r="J50" s="17"/>
      <c r="K50" s="17"/>
    </row>
    <row r="51" spans="1:11" ht="25" hidden="1">
      <c r="A51" s="82" t="s">
        <v>102</v>
      </c>
      <c r="B51" s="4"/>
      <c r="C51" s="4"/>
      <c r="D51" s="4"/>
      <c r="E51" s="4"/>
      <c r="F51" s="4"/>
      <c r="G51" s="17"/>
      <c r="H51" s="17"/>
      <c r="I51" s="17"/>
      <c r="J51" s="17"/>
      <c r="K51" s="17"/>
    </row>
    <row r="52" spans="1:11" ht="37.5" hidden="1">
      <c r="A52" s="82" t="s">
        <v>103</v>
      </c>
      <c r="B52" s="74"/>
      <c r="C52" s="74"/>
      <c r="D52" s="74"/>
      <c r="E52" s="11"/>
      <c r="F52" s="11"/>
      <c r="G52" s="17"/>
      <c r="H52" s="17"/>
      <c r="I52" s="17"/>
      <c r="J52" s="17"/>
      <c r="K52" s="17"/>
    </row>
    <row r="53" spans="1:11" ht="13" hidden="1">
      <c r="A53" s="79" t="s">
        <v>104</v>
      </c>
      <c r="B53" s="73"/>
      <c r="C53" s="73"/>
      <c r="D53" s="73"/>
      <c r="E53" s="10"/>
      <c r="F53" s="10" t="b">
        <v>1</v>
      </c>
      <c r="G53" s="17"/>
      <c r="H53" s="17"/>
      <c r="I53" s="17"/>
      <c r="J53" s="17"/>
      <c r="K53" s="17"/>
    </row>
    <row r="54" spans="1:11" ht="13" hidden="1">
      <c r="A54" s="80" t="s">
        <v>105</v>
      </c>
      <c r="B54" s="79"/>
      <c r="C54" s="79"/>
      <c r="D54" s="79"/>
      <c r="E54" s="10"/>
      <c r="F54" s="10" t="b">
        <v>0</v>
      </c>
      <c r="G54" s="17"/>
      <c r="H54" s="17"/>
      <c r="I54" s="17"/>
      <c r="J54" s="17"/>
      <c r="K54" s="17"/>
    </row>
    <row r="55" spans="1:11" ht="13" hidden="1">
      <c r="A55" s="83"/>
      <c r="B55" s="75">
        <f>COUNT(Travel!B12:B27)</f>
        <v>10</v>
      </c>
      <c r="C55" s="75"/>
      <c r="D55" s="75">
        <f>COUNTIF(Travel!D12:D27,"*")</f>
        <v>10</v>
      </c>
      <c r="E55" s="76"/>
      <c r="F55" s="76" t="b">
        <f>MIN(B55,D55)=MAX(B55,D55)</f>
        <v>1</v>
      </c>
      <c r="G55" s="17"/>
      <c r="H55" s="17"/>
      <c r="I55" s="17"/>
      <c r="J55" s="17"/>
      <c r="K55" s="17"/>
    </row>
    <row r="56" spans="1:11" ht="13" hidden="1">
      <c r="A56" s="83" t="s">
        <v>106</v>
      </c>
      <c r="B56" s="75">
        <f>COUNT(Travel!B33:B167)</f>
        <v>98</v>
      </c>
      <c r="C56" s="75"/>
      <c r="D56" s="75">
        <f>COUNTIF(Travel!D33:D167,"*")</f>
        <v>98</v>
      </c>
      <c r="E56" s="76"/>
      <c r="F56" s="76" t="b">
        <f>MIN(B56,D56)=MAX(B56,D56)</f>
        <v>1</v>
      </c>
    </row>
    <row r="57" spans="1:11" ht="13" hidden="1">
      <c r="A57" s="84"/>
      <c r="B57" s="75">
        <f>COUNT(Travel!B173:B186)</f>
        <v>0</v>
      </c>
      <c r="C57" s="75"/>
      <c r="D57" s="75">
        <f>COUNTIF(Travel!D173:D186,"*")</f>
        <v>0</v>
      </c>
      <c r="E57" s="76"/>
      <c r="F57" s="76" t="b">
        <f>MIN(B57,D57)=MAX(B57,D57)</f>
        <v>1</v>
      </c>
    </row>
    <row r="58" spans="1:11" ht="13" hidden="1">
      <c r="A58" s="85" t="s">
        <v>107</v>
      </c>
      <c r="B58" s="77">
        <f>COUNT(Hospitality!B11:B24)</f>
        <v>0</v>
      </c>
      <c r="C58" s="77"/>
      <c r="D58" s="77">
        <f>COUNTIF(Hospitality!D11:D24,"*")</f>
        <v>0</v>
      </c>
      <c r="E58" s="78"/>
      <c r="F58" s="78" t="b">
        <f>MIN(B58,D58)=MAX(B58,D58)</f>
        <v>1</v>
      </c>
    </row>
    <row r="59" spans="1:11" ht="13" hidden="1">
      <c r="A59" s="86" t="s">
        <v>108</v>
      </c>
      <c r="B59" s="76">
        <f>COUNT('All other expenses'!B11:B37)</f>
        <v>25</v>
      </c>
      <c r="C59" s="76"/>
      <c r="D59" s="76">
        <f>COUNTIF('All other expenses'!D11:D37,"*")</f>
        <v>25</v>
      </c>
      <c r="E59" s="76"/>
      <c r="F59" s="76" t="b">
        <f>MIN(B59,D59)=MAX(B59,D59)</f>
        <v>1</v>
      </c>
    </row>
    <row r="60" spans="1:11" ht="13" hidden="1">
      <c r="A60" s="85" t="s">
        <v>109</v>
      </c>
      <c r="B60" s="77">
        <f>COUNTIF('Gifts and benefits'!B11:B24,"*")</f>
        <v>0</v>
      </c>
      <c r="C60" s="77">
        <f>COUNTIF('Gifts and benefits'!C11:C24,"*")</f>
        <v>0</v>
      </c>
      <c r="D60" s="77"/>
      <c r="E60" s="77">
        <f>COUNTA('Gifts and benefits'!E11:E24)</f>
        <v>0</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68"/>
  <sheetViews>
    <sheetView tabSelected="1" zoomScaleNormal="100" workbookViewId="0">
      <selection activeCell="B6" sqref="B6:E6"/>
    </sheetView>
  </sheetViews>
  <sheetFormatPr defaultColWidth="0" defaultRowHeight="12.5" zeroHeight="1"/>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c r="A1" s="155" t="s">
        <v>110</v>
      </c>
      <c r="B1" s="155"/>
      <c r="C1" s="155"/>
      <c r="D1" s="155"/>
      <c r="E1" s="155"/>
      <c r="F1" s="17"/>
    </row>
    <row r="2" spans="1:6" ht="21" customHeight="1">
      <c r="A2" s="3" t="s">
        <v>111</v>
      </c>
      <c r="B2" s="153" t="str">
        <f>'Summary and sign-off'!B2:F2</f>
        <v>New Zealand Police</v>
      </c>
      <c r="C2" s="153"/>
      <c r="D2" s="153"/>
      <c r="E2" s="153"/>
      <c r="F2" s="17"/>
    </row>
    <row r="3" spans="1:6" ht="31">
      <c r="A3" s="3" t="s">
        <v>112</v>
      </c>
      <c r="B3" s="153" t="str">
        <f>'Summary and sign-off'!B3:F3</f>
        <v>Andrew Coster</v>
      </c>
      <c r="C3" s="153"/>
      <c r="D3" s="153"/>
      <c r="E3" s="153"/>
      <c r="F3" s="17"/>
    </row>
    <row r="4" spans="1:6" ht="21" customHeight="1">
      <c r="A4" s="3" t="s">
        <v>113</v>
      </c>
      <c r="B4" s="153">
        <f>'Summary and sign-off'!B4:F4</f>
        <v>45108</v>
      </c>
      <c r="C4" s="153"/>
      <c r="D4" s="153"/>
      <c r="E4" s="153"/>
      <c r="F4" s="17"/>
    </row>
    <row r="5" spans="1:6" ht="21" customHeight="1">
      <c r="A5" s="3" t="s">
        <v>114</v>
      </c>
      <c r="B5" s="153">
        <f>'Summary and sign-off'!B5:F5</f>
        <v>45473</v>
      </c>
      <c r="C5" s="153"/>
      <c r="D5" s="153"/>
      <c r="E5" s="153"/>
      <c r="F5" s="17"/>
    </row>
    <row r="6" spans="1:6" ht="21" customHeight="1">
      <c r="A6" s="3" t="s">
        <v>115</v>
      </c>
      <c r="B6" s="148" t="s">
        <v>82</v>
      </c>
      <c r="C6" s="148"/>
      <c r="D6" s="148"/>
      <c r="E6" s="148"/>
      <c r="F6" s="17"/>
    </row>
    <row r="7" spans="1:6" ht="21" customHeight="1">
      <c r="A7" s="3" t="s">
        <v>56</v>
      </c>
      <c r="B7" s="148" t="s">
        <v>84</v>
      </c>
      <c r="C7" s="148"/>
      <c r="D7" s="148"/>
      <c r="E7" s="148"/>
      <c r="F7" s="17"/>
    </row>
    <row r="8" spans="1:6" ht="36" customHeight="1">
      <c r="A8" s="157" t="s">
        <v>116</v>
      </c>
      <c r="B8" s="158"/>
      <c r="C8" s="158"/>
      <c r="D8" s="158"/>
      <c r="E8" s="158"/>
      <c r="F8" s="19"/>
    </row>
    <row r="9" spans="1:6" ht="36" customHeight="1">
      <c r="A9" s="159" t="s">
        <v>117</v>
      </c>
      <c r="B9" s="160"/>
      <c r="C9" s="160"/>
      <c r="D9" s="160"/>
      <c r="E9" s="160"/>
      <c r="F9" s="19"/>
    </row>
    <row r="10" spans="1:6" ht="24.75" customHeight="1">
      <c r="A10" s="156" t="s">
        <v>118</v>
      </c>
      <c r="B10" s="161"/>
      <c r="C10" s="156"/>
      <c r="D10" s="156"/>
      <c r="E10" s="156"/>
      <c r="F10" s="29"/>
    </row>
    <row r="11" spans="1:6" ht="28.5" customHeight="1">
      <c r="A11" s="24" t="s">
        <v>119</v>
      </c>
      <c r="B11" s="24" t="s">
        <v>120</v>
      </c>
      <c r="C11" s="24" t="s">
        <v>121</v>
      </c>
      <c r="D11" s="24" t="s">
        <v>122</v>
      </c>
      <c r="E11" s="24" t="s">
        <v>123</v>
      </c>
      <c r="F11" s="30"/>
    </row>
    <row r="12" spans="1:6" s="2" customFormat="1" ht="26.5" customHeight="1">
      <c r="A12" s="132" t="s">
        <v>173</v>
      </c>
      <c r="B12" s="132"/>
      <c r="C12" s="132" t="s">
        <v>175</v>
      </c>
      <c r="D12" s="132"/>
      <c r="E12" s="133"/>
      <c r="F12" s="1"/>
    </row>
    <row r="13" spans="1:6" s="2" customFormat="1">
      <c r="A13" s="117"/>
      <c r="B13" s="118">
        <f>34+25+25</f>
        <v>84</v>
      </c>
      <c r="C13" s="119"/>
      <c r="D13" s="119" t="s">
        <v>176</v>
      </c>
      <c r="E13" s="120"/>
      <c r="F13" s="1"/>
    </row>
    <row r="14" spans="1:6" s="2" customFormat="1" ht="26.5" customHeight="1">
      <c r="A14" s="132" t="s">
        <v>174</v>
      </c>
      <c r="B14" s="132"/>
      <c r="C14" s="132" t="s">
        <v>177</v>
      </c>
      <c r="D14" s="132"/>
      <c r="E14" s="133"/>
      <c r="F14" s="1"/>
    </row>
    <row r="15" spans="1:6" s="2" customFormat="1">
      <c r="A15" s="117"/>
      <c r="B15" s="118">
        <f>11196.63-10946.63+7723.2-7268.2+140+45+25</f>
        <v>915</v>
      </c>
      <c r="C15" s="119"/>
      <c r="D15" s="119" t="s">
        <v>176</v>
      </c>
      <c r="E15" s="120"/>
      <c r="F15" s="1"/>
    </row>
    <row r="16" spans="1:6" s="2" customFormat="1" ht="26.5" customHeight="1">
      <c r="A16" s="132" t="s">
        <v>255</v>
      </c>
      <c r="B16" s="132"/>
      <c r="C16" s="132" t="s">
        <v>256</v>
      </c>
      <c r="D16" s="132"/>
      <c r="E16" s="133" t="s">
        <v>257</v>
      </c>
      <c r="F16" s="1"/>
    </row>
    <row r="17" spans="1:6" s="2" customFormat="1">
      <c r="A17" s="117"/>
      <c r="B17" s="118">
        <v>1599.55</v>
      </c>
      <c r="C17" s="119"/>
      <c r="D17" s="119" t="s">
        <v>178</v>
      </c>
      <c r="E17" s="120"/>
      <c r="F17" s="1"/>
    </row>
    <row r="18" spans="1:6" s="2" customFormat="1">
      <c r="A18" s="117"/>
      <c r="B18" s="118">
        <v>1102.26</v>
      </c>
      <c r="C18" s="119"/>
      <c r="D18" s="119" t="s">
        <v>181</v>
      </c>
      <c r="E18" s="120"/>
      <c r="F18" s="1"/>
    </row>
    <row r="19" spans="1:6" s="2" customFormat="1">
      <c r="A19" s="117"/>
      <c r="B19" s="118">
        <v>67</v>
      </c>
      <c r="C19" s="119"/>
      <c r="D19" s="119" t="s">
        <v>176</v>
      </c>
      <c r="E19" s="120"/>
      <c r="F19" s="1"/>
    </row>
    <row r="20" spans="1:6" s="2" customFormat="1">
      <c r="A20" s="117"/>
      <c r="B20" s="138">
        <v>58.44</v>
      </c>
      <c r="C20" s="139"/>
      <c r="D20" s="139" t="s">
        <v>268</v>
      </c>
      <c r="E20" s="120"/>
      <c r="F20" s="1"/>
    </row>
    <row r="21" spans="1:6" s="2" customFormat="1" ht="26.5" customHeight="1">
      <c r="A21" s="132" t="s">
        <v>249</v>
      </c>
      <c r="B21" s="132"/>
      <c r="C21" s="132" t="s">
        <v>175</v>
      </c>
      <c r="D21" s="132"/>
      <c r="E21" s="133"/>
      <c r="F21" s="1"/>
    </row>
    <row r="22" spans="1:6" s="2" customFormat="1">
      <c r="A22" s="117"/>
      <c r="B22" s="118">
        <v>85</v>
      </c>
      <c r="C22" s="119"/>
      <c r="D22" s="119" t="s">
        <v>176</v>
      </c>
      <c r="E22" s="120"/>
      <c r="F22" s="1"/>
    </row>
    <row r="23" spans="1:6" s="2" customFormat="1" ht="37.5">
      <c r="A23" s="132" t="s">
        <v>261</v>
      </c>
      <c r="B23" s="132"/>
      <c r="C23" s="132" t="s">
        <v>278</v>
      </c>
      <c r="D23" s="132"/>
      <c r="E23" s="133" t="s">
        <v>259</v>
      </c>
      <c r="F23" s="1"/>
    </row>
    <row r="24" spans="1:6" s="2" customFormat="1">
      <c r="A24" s="117"/>
      <c r="B24" s="118">
        <f>4521.03+2020.8+1744.6</f>
        <v>8286.43</v>
      </c>
      <c r="C24" s="119"/>
      <c r="D24" s="119" t="s">
        <v>178</v>
      </c>
      <c r="E24" s="120"/>
      <c r="F24" s="1"/>
    </row>
    <row r="25" spans="1:6" s="2" customFormat="1" ht="14.5" customHeight="1">
      <c r="A25" s="117"/>
      <c r="B25" s="118">
        <f>2851.25+348.88+1136.53</f>
        <v>4336.66</v>
      </c>
      <c r="C25" s="119"/>
      <c r="D25" s="119" t="s">
        <v>181</v>
      </c>
      <c r="E25" s="120"/>
      <c r="F25" s="1"/>
    </row>
    <row r="26" spans="1:6" s="2" customFormat="1">
      <c r="A26" s="117"/>
      <c r="B26" s="118">
        <f>190+192</f>
        <v>382</v>
      </c>
      <c r="C26" s="119"/>
      <c r="D26" s="119" t="s">
        <v>176</v>
      </c>
      <c r="E26" s="120"/>
      <c r="F26" s="1"/>
    </row>
    <row r="27" spans="1:6" s="2" customFormat="1" hidden="1">
      <c r="A27" s="104"/>
      <c r="B27" s="105"/>
      <c r="C27" s="106"/>
      <c r="D27" s="106"/>
      <c r="E27" s="107"/>
      <c r="F27" s="1"/>
    </row>
    <row r="28" spans="1:6" s="2" customFormat="1">
      <c r="A28" s="117"/>
      <c r="B28" s="118">
        <f>64.86+56.14</f>
        <v>121</v>
      </c>
      <c r="C28" s="119"/>
      <c r="D28" s="119" t="s">
        <v>267</v>
      </c>
      <c r="E28" s="120"/>
      <c r="F28" s="1"/>
    </row>
    <row r="29" spans="1:6" ht="19.5" customHeight="1">
      <c r="A29" s="71" t="s">
        <v>124</v>
      </c>
      <c r="B29" s="72">
        <f>SUM(B12:B27)</f>
        <v>16916.34</v>
      </c>
      <c r="C29" s="128" t="str">
        <f>IF(SUBTOTAL(3,B12:B27)=SUBTOTAL(103,B12:B27),'Summary and sign-off'!$A$48,'Summary and sign-off'!$A$49)</f>
        <v>Check - there are no hidden rows with data</v>
      </c>
      <c r="D29" s="154" t="str">
        <f>IF('Summary and sign-off'!F55='Summary and sign-off'!F54,'Summary and sign-off'!A51,'Summary and sign-off'!A50)</f>
        <v>Check - each entry provides sufficient information</v>
      </c>
      <c r="E29" s="154"/>
      <c r="F29" s="17"/>
    </row>
    <row r="30" spans="1:6" ht="10.5" customHeight="1">
      <c r="A30" s="17"/>
      <c r="B30" s="19"/>
      <c r="C30" s="17"/>
      <c r="D30" s="17"/>
      <c r="E30" s="17"/>
      <c r="F30" s="17"/>
    </row>
    <row r="31" spans="1:6" ht="24.75" customHeight="1">
      <c r="A31" s="156" t="s">
        <v>125</v>
      </c>
      <c r="B31" s="156"/>
      <c r="C31" s="156"/>
      <c r="D31" s="156"/>
      <c r="E31" s="156"/>
      <c r="F31" s="29"/>
    </row>
    <row r="32" spans="1:6" ht="32.5" customHeight="1">
      <c r="A32" s="24" t="s">
        <v>119</v>
      </c>
      <c r="B32" s="24" t="s">
        <v>63</v>
      </c>
      <c r="C32" s="24" t="s">
        <v>126</v>
      </c>
      <c r="D32" s="24" t="s">
        <v>122</v>
      </c>
      <c r="E32" s="24" t="s">
        <v>123</v>
      </c>
      <c r="F32" s="30"/>
    </row>
    <row r="33" spans="1:6" s="2" customFormat="1" ht="26.5" customHeight="1">
      <c r="A33" s="132">
        <v>45118</v>
      </c>
      <c r="B33" s="132"/>
      <c r="C33" s="132" t="s">
        <v>279</v>
      </c>
      <c r="D33" s="132"/>
      <c r="E33" s="133" t="s">
        <v>179</v>
      </c>
      <c r="F33" s="1"/>
    </row>
    <row r="34" spans="1:6" s="2" customFormat="1">
      <c r="A34" s="117"/>
      <c r="B34" s="118">
        <v>604</v>
      </c>
      <c r="C34" s="119"/>
      <c r="D34" s="119" t="s">
        <v>178</v>
      </c>
      <c r="E34" s="120"/>
      <c r="F34" s="1"/>
    </row>
    <row r="35" spans="1:6" s="2" customFormat="1">
      <c r="A35" s="117"/>
      <c r="B35" s="118">
        <v>3</v>
      </c>
      <c r="C35" s="119"/>
      <c r="D35" s="119" t="s">
        <v>176</v>
      </c>
      <c r="E35" s="120"/>
      <c r="F35" s="1"/>
    </row>
    <row r="36" spans="1:6" s="2" customFormat="1">
      <c r="A36" s="117"/>
      <c r="B36" s="138">
        <f>47.29+53.76</f>
        <v>101.05</v>
      </c>
      <c r="C36" s="139"/>
      <c r="D36" s="139" t="s">
        <v>267</v>
      </c>
      <c r="E36" s="120"/>
      <c r="F36" s="145"/>
    </row>
    <row r="37" spans="1:6" s="1" customFormat="1" ht="32.15" customHeight="1">
      <c r="A37" s="136" t="s">
        <v>180</v>
      </c>
      <c r="B37" s="136"/>
      <c r="C37" s="136" t="s">
        <v>195</v>
      </c>
      <c r="D37" s="136"/>
      <c r="E37" s="133" t="s">
        <v>182</v>
      </c>
      <c r="F37" s="145"/>
    </row>
    <row r="38" spans="1:6" s="2" customFormat="1" ht="18" customHeight="1">
      <c r="A38" s="117"/>
      <c r="B38" s="118">
        <f>454.42+327.21+408-206.28+301.8</f>
        <v>1285.1500000000001</v>
      </c>
      <c r="C38" s="119"/>
      <c r="D38" s="119" t="s">
        <v>178</v>
      </c>
      <c r="E38" s="120"/>
      <c r="F38" s="137"/>
    </row>
    <row r="39" spans="1:6" s="2" customFormat="1" ht="19.5" customHeight="1">
      <c r="A39" s="117"/>
      <c r="B39" s="118">
        <f>260+178.26</f>
        <v>438.26</v>
      </c>
      <c r="C39" s="119"/>
      <c r="D39" s="119" t="s">
        <v>181</v>
      </c>
      <c r="E39" s="120"/>
      <c r="F39" s="146"/>
    </row>
    <row r="40" spans="1:6" s="2" customFormat="1">
      <c r="A40" s="117"/>
      <c r="B40" s="118">
        <f>3+34+22+3</f>
        <v>62</v>
      </c>
      <c r="C40" s="119"/>
      <c r="D40" s="119" t="s">
        <v>176</v>
      </c>
      <c r="E40" s="120"/>
      <c r="F40" s="145"/>
    </row>
    <row r="41" spans="1:6" s="2" customFormat="1" ht="26.5" customHeight="1">
      <c r="A41" s="132">
        <v>45135</v>
      </c>
      <c r="B41" s="132"/>
      <c r="C41" s="132" t="s">
        <v>280</v>
      </c>
      <c r="D41" s="132"/>
      <c r="E41" s="133" t="s">
        <v>183</v>
      </c>
      <c r="F41" s="135"/>
    </row>
    <row r="42" spans="1:6" s="2" customFormat="1">
      <c r="A42" s="117"/>
      <c r="B42" s="118">
        <v>624.01</v>
      </c>
      <c r="C42" s="119"/>
      <c r="D42" s="119" t="s">
        <v>178</v>
      </c>
      <c r="E42" s="120"/>
      <c r="F42" s="135"/>
    </row>
    <row r="43" spans="1:6" s="2" customFormat="1">
      <c r="A43" s="117"/>
      <c r="B43" s="118">
        <f>21+21</f>
        <v>42</v>
      </c>
      <c r="C43" s="119"/>
      <c r="D43" s="119" t="s">
        <v>176</v>
      </c>
      <c r="E43" s="120"/>
      <c r="F43" s="135"/>
    </row>
    <row r="44" spans="1:6" s="2" customFormat="1">
      <c r="A44" s="117"/>
      <c r="B44" s="118">
        <v>76.58</v>
      </c>
      <c r="C44" s="119"/>
      <c r="D44" s="119" t="s">
        <v>184</v>
      </c>
      <c r="E44" s="120"/>
      <c r="F44" s="135"/>
    </row>
    <row r="45" spans="1:6" s="2" customFormat="1" ht="25.5" customHeight="1">
      <c r="A45" s="132" t="s">
        <v>185</v>
      </c>
      <c r="B45" s="132"/>
      <c r="C45" s="132" t="s">
        <v>191</v>
      </c>
      <c r="D45" s="132"/>
      <c r="E45" s="133" t="s">
        <v>221</v>
      </c>
      <c r="F45" s="135"/>
    </row>
    <row r="46" spans="1:6" s="2" customFormat="1">
      <c r="A46" s="117"/>
      <c r="B46" s="118">
        <v>279.66000000000003</v>
      </c>
      <c r="C46" s="119"/>
      <c r="D46" s="119" t="s">
        <v>178</v>
      </c>
      <c r="E46" s="120"/>
      <c r="F46" s="135"/>
    </row>
    <row r="47" spans="1:6" s="2" customFormat="1">
      <c r="A47" s="117"/>
      <c r="B47" s="118">
        <v>6</v>
      </c>
      <c r="C47" s="119"/>
      <c r="D47" s="119" t="s">
        <v>176</v>
      </c>
      <c r="E47" s="120"/>
      <c r="F47" s="135"/>
    </row>
    <row r="48" spans="1:6" s="2" customFormat="1">
      <c r="A48" s="117"/>
      <c r="B48" s="118">
        <v>233.91</v>
      </c>
      <c r="C48" s="119"/>
      <c r="D48" s="119" t="s">
        <v>181</v>
      </c>
      <c r="E48" s="120"/>
      <c r="F48" s="135"/>
    </row>
    <row r="49" spans="1:6" s="2" customFormat="1" ht="24.65" customHeight="1">
      <c r="A49" s="132">
        <v>45147</v>
      </c>
      <c r="B49" s="132"/>
      <c r="C49" s="132" t="s">
        <v>194</v>
      </c>
      <c r="D49" s="132"/>
      <c r="E49" s="133" t="s">
        <v>222</v>
      </c>
      <c r="F49" s="135"/>
    </row>
    <row r="50" spans="1:6" s="2" customFormat="1">
      <c r="A50" s="117"/>
      <c r="B50" s="118">
        <f>407.37+166.12-161.29</f>
        <v>412.20000000000005</v>
      </c>
      <c r="C50" s="119"/>
      <c r="D50" s="119" t="s">
        <v>178</v>
      </c>
      <c r="E50" s="120"/>
      <c r="F50" s="135"/>
    </row>
    <row r="51" spans="1:6" s="2" customFormat="1">
      <c r="A51" s="117"/>
      <c r="B51" s="118">
        <f>3+20+3+22+20+3</f>
        <v>71</v>
      </c>
      <c r="C51" s="119"/>
      <c r="D51" s="119" t="s">
        <v>176</v>
      </c>
      <c r="E51" s="120"/>
      <c r="F51" s="135"/>
    </row>
    <row r="52" spans="1:6" s="2" customFormat="1" ht="25">
      <c r="A52" s="132" t="s">
        <v>193</v>
      </c>
      <c r="B52" s="132"/>
      <c r="C52" s="132" t="s">
        <v>192</v>
      </c>
      <c r="D52" s="132"/>
      <c r="E52" s="133" t="s">
        <v>186</v>
      </c>
      <c r="F52" s="135"/>
    </row>
    <row r="53" spans="1:6" s="2" customFormat="1">
      <c r="A53" s="117"/>
      <c r="B53" s="118">
        <f>77.62+460.8+281.33</f>
        <v>819.75</v>
      </c>
      <c r="C53" s="119"/>
      <c r="D53" s="119" t="s">
        <v>178</v>
      </c>
      <c r="E53" s="120"/>
      <c r="F53" s="135"/>
    </row>
    <row r="54" spans="1:6" s="2" customFormat="1">
      <c r="A54" s="117"/>
      <c r="B54" s="118">
        <f>25+22+21+22+20+21</f>
        <v>131</v>
      </c>
      <c r="C54" s="119"/>
      <c r="D54" s="119" t="s">
        <v>176</v>
      </c>
      <c r="E54" s="120"/>
      <c r="F54" s="135"/>
    </row>
    <row r="55" spans="1:6" s="2" customFormat="1">
      <c r="A55" s="117"/>
      <c r="B55" s="118">
        <v>294.77999999999997</v>
      </c>
      <c r="C55" s="119"/>
      <c r="D55" s="119" t="s">
        <v>181</v>
      </c>
      <c r="E55" s="120"/>
      <c r="F55" s="135"/>
    </row>
    <row r="56" spans="1:6" s="2" customFormat="1">
      <c r="A56" s="117"/>
      <c r="B56" s="118">
        <v>49.3</v>
      </c>
      <c r="C56" s="119"/>
      <c r="D56" s="119" t="s">
        <v>184</v>
      </c>
      <c r="E56" s="120"/>
      <c r="F56" s="135"/>
    </row>
    <row r="57" spans="1:6" s="2" customFormat="1">
      <c r="A57" s="117"/>
      <c r="B57" s="118">
        <f>59.69+67.14</f>
        <v>126.83</v>
      </c>
      <c r="C57" s="119"/>
      <c r="D57" s="119" t="s">
        <v>267</v>
      </c>
      <c r="E57" s="120"/>
      <c r="F57" s="135"/>
    </row>
    <row r="58" spans="1:6" s="2" customFormat="1" ht="25">
      <c r="A58" s="132">
        <v>45159</v>
      </c>
      <c r="B58" s="132"/>
      <c r="C58" s="132" t="s">
        <v>281</v>
      </c>
      <c r="D58" s="132"/>
      <c r="E58" s="133" t="s">
        <v>187</v>
      </c>
      <c r="F58" s="135"/>
    </row>
    <row r="59" spans="1:6" s="2" customFormat="1">
      <c r="A59" s="117"/>
      <c r="B59" s="118">
        <v>553.61</v>
      </c>
      <c r="C59" s="119"/>
      <c r="D59" s="119" t="s">
        <v>178</v>
      </c>
      <c r="E59" s="120"/>
      <c r="F59" s="135"/>
    </row>
    <row r="60" spans="1:6" s="2" customFormat="1">
      <c r="A60" s="117"/>
      <c r="B60" s="118">
        <v>3</v>
      </c>
      <c r="C60" s="119"/>
      <c r="D60" s="119" t="s">
        <v>176</v>
      </c>
      <c r="E60" s="120"/>
      <c r="F60" s="135"/>
    </row>
    <row r="61" spans="1:6" s="2" customFormat="1" ht="25">
      <c r="A61" s="132">
        <v>45160</v>
      </c>
      <c r="B61" s="132"/>
      <c r="C61" s="132" t="s">
        <v>196</v>
      </c>
      <c r="D61" s="132"/>
      <c r="E61" s="133" t="s">
        <v>183</v>
      </c>
      <c r="F61" s="135"/>
    </row>
    <row r="62" spans="1:6" s="2" customFormat="1">
      <c r="A62" s="117"/>
      <c r="B62" s="118">
        <v>296.81</v>
      </c>
      <c r="C62" s="119"/>
      <c r="D62" s="119" t="s">
        <v>178</v>
      </c>
      <c r="E62" s="120"/>
      <c r="F62" s="135"/>
    </row>
    <row r="63" spans="1:6" s="2" customFormat="1">
      <c r="A63" s="117"/>
      <c r="B63" s="118">
        <v>3</v>
      </c>
      <c r="C63" s="119"/>
      <c r="D63" s="119" t="s">
        <v>176</v>
      </c>
      <c r="E63" s="120"/>
      <c r="F63" s="135"/>
    </row>
    <row r="64" spans="1:6" s="2" customFormat="1">
      <c r="A64" s="132">
        <v>45168</v>
      </c>
      <c r="B64" s="132"/>
      <c r="C64" s="132" t="s">
        <v>225</v>
      </c>
      <c r="D64" s="132"/>
      <c r="E64" s="133"/>
      <c r="F64" s="135"/>
    </row>
    <row r="65" spans="1:6" s="2" customFormat="1">
      <c r="A65" s="117"/>
      <c r="B65" s="118">
        <v>48</v>
      </c>
      <c r="C65" s="119"/>
      <c r="D65" s="119" t="s">
        <v>176</v>
      </c>
      <c r="E65" s="120"/>
      <c r="F65" s="135"/>
    </row>
    <row r="66" spans="1:6" s="2" customFormat="1" ht="28.5" customHeight="1">
      <c r="A66" s="132" t="s">
        <v>188</v>
      </c>
      <c r="B66" s="132"/>
      <c r="C66" s="132" t="s">
        <v>197</v>
      </c>
      <c r="D66" s="132"/>
      <c r="E66" s="133" t="s">
        <v>223</v>
      </c>
      <c r="F66" s="135"/>
    </row>
    <row r="67" spans="1:6" s="2" customFormat="1">
      <c r="A67" s="117"/>
      <c r="B67" s="118">
        <f>312.35+250.56+55.09</f>
        <v>618.00000000000011</v>
      </c>
      <c r="C67" s="119"/>
      <c r="D67" s="119" t="s">
        <v>178</v>
      </c>
      <c r="E67" s="120"/>
      <c r="F67" s="135"/>
    </row>
    <row r="68" spans="1:6" s="2" customFormat="1">
      <c r="A68" s="117"/>
      <c r="B68" s="118">
        <f>21+21+3+21+25+22+3</f>
        <v>116</v>
      </c>
      <c r="C68" s="119"/>
      <c r="D68" s="119" t="s">
        <v>176</v>
      </c>
      <c r="E68" s="120"/>
      <c r="F68" s="135"/>
    </row>
    <row r="69" spans="1:6" s="2" customFormat="1">
      <c r="A69" s="117"/>
      <c r="B69" s="118">
        <v>150.43</v>
      </c>
      <c r="C69" s="119"/>
      <c r="D69" s="119" t="s">
        <v>181</v>
      </c>
      <c r="E69" s="120"/>
      <c r="F69" s="135"/>
    </row>
    <row r="70" spans="1:6" s="2" customFormat="1">
      <c r="A70" s="117"/>
      <c r="B70" s="118">
        <f>50.03</f>
        <v>50.03</v>
      </c>
      <c r="C70" s="119"/>
      <c r="D70" s="119" t="s">
        <v>184</v>
      </c>
      <c r="E70" s="120"/>
      <c r="F70" s="135"/>
    </row>
    <row r="71" spans="1:6" s="2" customFormat="1" ht="25">
      <c r="A71" s="132">
        <v>45176</v>
      </c>
      <c r="B71" s="132"/>
      <c r="C71" s="132" t="s">
        <v>198</v>
      </c>
      <c r="D71" s="132"/>
      <c r="E71" s="133" t="s">
        <v>183</v>
      </c>
      <c r="F71" s="135"/>
    </row>
    <row r="72" spans="1:6" s="2" customFormat="1">
      <c r="A72" s="117"/>
      <c r="B72" s="118">
        <v>386.41</v>
      </c>
      <c r="C72" s="119"/>
      <c r="D72" s="119" t="s">
        <v>178</v>
      </c>
      <c r="E72" s="120"/>
      <c r="F72" s="135"/>
    </row>
    <row r="73" spans="1:6" s="2" customFormat="1">
      <c r="A73" s="117"/>
      <c r="B73" s="118">
        <v>3</v>
      </c>
      <c r="C73" s="119"/>
      <c r="D73" s="119" t="s">
        <v>176</v>
      </c>
      <c r="E73" s="120"/>
      <c r="F73" s="135"/>
    </row>
    <row r="74" spans="1:6" s="2" customFormat="1">
      <c r="A74" s="117"/>
      <c r="B74" s="118">
        <v>50.03</v>
      </c>
      <c r="C74" s="119"/>
      <c r="D74" s="119" t="s">
        <v>184</v>
      </c>
      <c r="E74" s="120"/>
      <c r="F74" s="135"/>
    </row>
    <row r="75" spans="1:6" s="2" customFormat="1" ht="25">
      <c r="A75" s="132">
        <v>45182</v>
      </c>
      <c r="B75" s="132"/>
      <c r="C75" s="132" t="s">
        <v>199</v>
      </c>
      <c r="D75" s="132"/>
      <c r="E75" s="133" t="s">
        <v>183</v>
      </c>
      <c r="F75" s="135"/>
    </row>
    <row r="76" spans="1:6" s="2" customFormat="1">
      <c r="A76" s="117"/>
      <c r="B76" s="118">
        <v>346.41</v>
      </c>
      <c r="C76" s="119"/>
      <c r="D76" s="119" t="s">
        <v>178</v>
      </c>
      <c r="E76" s="120"/>
      <c r="F76" s="135"/>
    </row>
    <row r="77" spans="1:6" s="2" customFormat="1">
      <c r="A77" s="117"/>
      <c r="B77" s="118">
        <v>25</v>
      </c>
      <c r="C77" s="119"/>
      <c r="D77" s="119" t="s">
        <v>176</v>
      </c>
      <c r="E77" s="120"/>
      <c r="F77" s="135"/>
    </row>
    <row r="78" spans="1:6" s="2" customFormat="1">
      <c r="A78" s="117"/>
      <c r="B78" s="118">
        <v>49.43</v>
      </c>
      <c r="C78" s="119"/>
      <c r="D78" s="119" t="s">
        <v>184</v>
      </c>
      <c r="E78" s="120"/>
      <c r="F78" s="135"/>
    </row>
    <row r="79" spans="1:6" s="2" customFormat="1">
      <c r="A79" s="132">
        <v>45184</v>
      </c>
      <c r="B79" s="132"/>
      <c r="C79" s="132" t="s">
        <v>225</v>
      </c>
      <c r="D79" s="132"/>
      <c r="E79" s="133"/>
      <c r="F79" s="135"/>
    </row>
    <row r="80" spans="1:6" s="2" customFormat="1">
      <c r="A80" s="117"/>
      <c r="B80" s="118">
        <v>22</v>
      </c>
      <c r="C80" s="119"/>
      <c r="D80" s="119" t="s">
        <v>176</v>
      </c>
      <c r="E80" s="120"/>
      <c r="F80" s="135"/>
    </row>
    <row r="81" spans="1:6" s="2" customFormat="1" ht="25">
      <c r="A81" s="132" t="s">
        <v>201</v>
      </c>
      <c r="B81" s="132"/>
      <c r="C81" s="132" t="s">
        <v>200</v>
      </c>
      <c r="D81" s="132"/>
      <c r="E81" s="133" t="s">
        <v>183</v>
      </c>
      <c r="F81" s="135"/>
    </row>
    <row r="82" spans="1:6" s="2" customFormat="1">
      <c r="A82" s="117"/>
      <c r="B82" s="118">
        <f>222.42+360.78+130.4</f>
        <v>713.59999999999991</v>
      </c>
      <c r="C82" s="119"/>
      <c r="D82" s="119" t="s">
        <v>178</v>
      </c>
      <c r="E82" s="120"/>
      <c r="F82" s="135"/>
    </row>
    <row r="83" spans="1:6" s="2" customFormat="1">
      <c r="A83" s="117"/>
      <c r="B83" s="118">
        <f>349+349+175+175</f>
        <v>1048</v>
      </c>
      <c r="C83" s="134"/>
      <c r="D83" s="119" t="s">
        <v>181</v>
      </c>
      <c r="E83" s="120"/>
      <c r="F83" s="135"/>
    </row>
    <row r="84" spans="1:6" s="2" customFormat="1">
      <c r="A84" s="117"/>
      <c r="B84" s="118">
        <f>22+3</f>
        <v>25</v>
      </c>
      <c r="C84" s="119"/>
      <c r="D84" s="119" t="s">
        <v>176</v>
      </c>
      <c r="E84" s="120"/>
      <c r="F84" s="135"/>
    </row>
    <row r="85" spans="1:6" s="2" customFormat="1">
      <c r="A85" s="117"/>
      <c r="B85" s="138">
        <f>64.47+65.9</f>
        <v>130.37</v>
      </c>
      <c r="C85" s="139"/>
      <c r="D85" s="139" t="s">
        <v>267</v>
      </c>
      <c r="E85" s="120"/>
      <c r="F85" s="135"/>
    </row>
    <row r="86" spans="1:6" s="2" customFormat="1" ht="26.15" customHeight="1">
      <c r="A86" s="132" t="s">
        <v>189</v>
      </c>
      <c r="B86" s="132"/>
      <c r="C86" s="132" t="s">
        <v>202</v>
      </c>
      <c r="D86" s="132"/>
      <c r="E86" s="133" t="s">
        <v>224</v>
      </c>
      <c r="F86" s="135"/>
    </row>
    <row r="87" spans="1:6" s="2" customFormat="1">
      <c r="A87" s="117"/>
      <c r="B87" s="118">
        <f>466.02</f>
        <v>466.02</v>
      </c>
      <c r="C87" s="119"/>
      <c r="D87" s="119" t="s">
        <v>178</v>
      </c>
      <c r="E87" s="120"/>
      <c r="F87" s="135"/>
    </row>
    <row r="88" spans="1:6" s="2" customFormat="1">
      <c r="A88" s="117"/>
      <c r="B88" s="118">
        <f>21</f>
        <v>21</v>
      </c>
      <c r="C88" s="119"/>
      <c r="D88" s="119" t="s">
        <v>176</v>
      </c>
      <c r="E88" s="120"/>
      <c r="F88" s="135"/>
    </row>
    <row r="89" spans="1:6" s="2" customFormat="1">
      <c r="A89" s="117"/>
      <c r="B89" s="118">
        <f>315.65</f>
        <v>315.64999999999998</v>
      </c>
      <c r="C89" s="119"/>
      <c r="D89" s="119" t="s">
        <v>181</v>
      </c>
      <c r="E89" s="120"/>
      <c r="F89" s="135"/>
    </row>
    <row r="90" spans="1:6" s="2" customFormat="1">
      <c r="A90" s="117"/>
      <c r="B90" s="118">
        <f>143.86</f>
        <v>143.86000000000001</v>
      </c>
      <c r="C90" s="119"/>
      <c r="D90" s="119" t="s">
        <v>184</v>
      </c>
      <c r="E90" s="120"/>
      <c r="F90" s="135"/>
    </row>
    <row r="91" spans="1:6" s="2" customFormat="1">
      <c r="A91" s="132">
        <v>45210</v>
      </c>
      <c r="B91" s="132"/>
      <c r="C91" s="132" t="s">
        <v>226</v>
      </c>
      <c r="D91" s="132"/>
      <c r="E91" s="133"/>
      <c r="F91" s="135"/>
    </row>
    <row r="92" spans="1:6" s="2" customFormat="1">
      <c r="A92" s="117"/>
      <c r="B92" s="118">
        <f>3+3+25+25+25</f>
        <v>81</v>
      </c>
      <c r="C92" s="119"/>
      <c r="D92" s="119" t="s">
        <v>176</v>
      </c>
      <c r="E92" s="120"/>
      <c r="F92" s="135"/>
    </row>
    <row r="93" spans="1:6" s="2" customFormat="1" ht="19.5" customHeight="1">
      <c r="A93" s="132" t="s">
        <v>190</v>
      </c>
      <c r="B93" s="132"/>
      <c r="C93" s="132" t="s">
        <v>225</v>
      </c>
      <c r="D93" s="132"/>
      <c r="E93" s="133" t="s">
        <v>183</v>
      </c>
      <c r="F93" s="135"/>
    </row>
    <row r="94" spans="1:6" s="2" customFormat="1">
      <c r="A94" s="117"/>
      <c r="B94" s="118">
        <f>21+25+3+34+25+25+25</f>
        <v>158</v>
      </c>
      <c r="C94" s="119"/>
      <c r="D94" s="119" t="s">
        <v>176</v>
      </c>
      <c r="E94" s="120"/>
      <c r="F94" s="135"/>
    </row>
    <row r="95" spans="1:6" s="2" customFormat="1">
      <c r="A95" s="132">
        <v>45231</v>
      </c>
      <c r="B95" s="132"/>
      <c r="C95" s="132" t="s">
        <v>227</v>
      </c>
      <c r="D95" s="132"/>
      <c r="E95" s="133"/>
      <c r="F95" s="135"/>
    </row>
    <row r="96" spans="1:6" s="2" customFormat="1">
      <c r="A96" s="117"/>
      <c r="B96" s="118">
        <f>3+25+25</f>
        <v>53</v>
      </c>
      <c r="C96" s="119"/>
      <c r="D96" s="119" t="s">
        <v>176</v>
      </c>
      <c r="E96" s="120"/>
      <c r="F96" s="135"/>
    </row>
    <row r="97" spans="1:6" s="2" customFormat="1" ht="25">
      <c r="A97" s="132">
        <v>45233</v>
      </c>
      <c r="B97" s="132"/>
      <c r="C97" s="132" t="s">
        <v>282</v>
      </c>
      <c r="D97" s="132"/>
      <c r="E97" s="133" t="s">
        <v>183</v>
      </c>
      <c r="F97" s="135"/>
    </row>
    <row r="98" spans="1:6" s="2" customFormat="1">
      <c r="A98" s="117"/>
      <c r="B98" s="118">
        <v>494.4</v>
      </c>
      <c r="C98" s="119"/>
      <c r="D98" s="119" t="s">
        <v>178</v>
      </c>
      <c r="E98" s="120"/>
      <c r="F98" s="135"/>
    </row>
    <row r="99" spans="1:6" s="2" customFormat="1">
      <c r="A99" s="117"/>
      <c r="B99" s="118">
        <v>3</v>
      </c>
      <c r="C99" s="119"/>
      <c r="D99" s="119" t="s">
        <v>176</v>
      </c>
      <c r="E99" s="120"/>
      <c r="F99" s="135"/>
    </row>
    <row r="100" spans="1:6" s="2" customFormat="1">
      <c r="A100" s="117"/>
      <c r="B100" s="118">
        <v>49.43</v>
      </c>
      <c r="C100" s="119"/>
      <c r="D100" s="119" t="s">
        <v>184</v>
      </c>
      <c r="E100" s="120"/>
      <c r="F100" s="135"/>
    </row>
    <row r="101" spans="1:6" s="2" customFormat="1" ht="25">
      <c r="A101" s="132" t="s">
        <v>203</v>
      </c>
      <c r="B101" s="132"/>
      <c r="C101" s="132" t="s">
        <v>205</v>
      </c>
      <c r="D101" s="132"/>
      <c r="E101" s="133" t="s">
        <v>179</v>
      </c>
      <c r="F101" s="135"/>
    </row>
    <row r="102" spans="1:6" s="2" customFormat="1">
      <c r="A102" s="117"/>
      <c r="B102" s="118">
        <f>171.2+368.01</f>
        <v>539.21</v>
      </c>
      <c r="C102" s="119"/>
      <c r="D102" s="119" t="s">
        <v>178</v>
      </c>
      <c r="E102" s="120"/>
      <c r="F102" s="135"/>
    </row>
    <row r="103" spans="1:6" s="2" customFormat="1">
      <c r="A103" s="117"/>
      <c r="B103" s="118">
        <v>25</v>
      </c>
      <c r="C103" s="119"/>
      <c r="D103" s="119" t="s">
        <v>176</v>
      </c>
      <c r="E103" s="120"/>
      <c r="F103" s="135"/>
    </row>
    <row r="104" spans="1:6" s="2" customFormat="1">
      <c r="A104" s="117"/>
      <c r="B104" s="118">
        <v>178.26</v>
      </c>
      <c r="C104" s="119"/>
      <c r="D104" s="119" t="s">
        <v>181</v>
      </c>
      <c r="E104" s="120"/>
      <c r="F104" s="135"/>
    </row>
    <row r="105" spans="1:6" s="2" customFormat="1">
      <c r="A105" s="117"/>
      <c r="B105" s="118">
        <v>44.91</v>
      </c>
      <c r="C105" s="119"/>
      <c r="D105" s="119" t="s">
        <v>184</v>
      </c>
      <c r="E105" s="120"/>
      <c r="F105" s="135"/>
    </row>
    <row r="106" spans="1:6" s="2" customFormat="1">
      <c r="A106" s="132" t="s">
        <v>204</v>
      </c>
      <c r="B106" s="132"/>
      <c r="C106" s="132" t="s">
        <v>225</v>
      </c>
      <c r="D106" s="132"/>
      <c r="E106" s="133"/>
      <c r="F106" s="135"/>
    </row>
    <row r="107" spans="1:6" s="2" customFormat="1">
      <c r="A107" s="117"/>
      <c r="B107" s="118">
        <f>3+22+25+22</f>
        <v>72</v>
      </c>
      <c r="C107" s="119"/>
      <c r="D107" s="119" t="s">
        <v>176</v>
      </c>
      <c r="E107" s="120"/>
      <c r="F107" s="135"/>
    </row>
    <row r="108" spans="1:6" s="2" customFormat="1" ht="25">
      <c r="A108" s="132" t="s">
        <v>236</v>
      </c>
      <c r="B108" s="132"/>
      <c r="C108" s="132" t="s">
        <v>283</v>
      </c>
      <c r="D108" s="132"/>
      <c r="E108" s="133" t="s">
        <v>243</v>
      </c>
      <c r="F108" s="135"/>
    </row>
    <row r="109" spans="1:6" s="2" customFormat="1">
      <c r="A109" s="117"/>
      <c r="B109" s="118">
        <v>568.1</v>
      </c>
      <c r="C109" s="119"/>
      <c r="D109" s="119" t="s">
        <v>178</v>
      </c>
      <c r="E109" s="120"/>
      <c r="F109" s="135"/>
    </row>
    <row r="110" spans="1:6" s="2" customFormat="1">
      <c r="A110" s="117"/>
      <c r="B110" s="118">
        <v>31</v>
      </c>
      <c r="C110" s="119"/>
      <c r="D110" s="119" t="s">
        <v>176</v>
      </c>
      <c r="E110" s="120"/>
      <c r="F110" s="135"/>
    </row>
    <row r="111" spans="1:6" s="2" customFormat="1">
      <c r="A111" s="117"/>
      <c r="B111" s="118">
        <f>44.91*2</f>
        <v>89.82</v>
      </c>
      <c r="C111" s="119"/>
      <c r="D111" s="119" t="s">
        <v>184</v>
      </c>
      <c r="E111" s="120"/>
      <c r="F111" s="135"/>
    </row>
    <row r="112" spans="1:6" s="2" customFormat="1" ht="25">
      <c r="A112" s="132" t="s">
        <v>239</v>
      </c>
      <c r="B112" s="132"/>
      <c r="C112" s="132" t="s">
        <v>284</v>
      </c>
      <c r="D112" s="132"/>
      <c r="E112" s="133" t="s">
        <v>238</v>
      </c>
      <c r="F112" s="135"/>
    </row>
    <row r="113" spans="1:6" s="2" customFormat="1">
      <c r="A113" s="117"/>
      <c r="B113" s="118">
        <v>897.4</v>
      </c>
      <c r="C113" s="119"/>
      <c r="D113" s="119" t="s">
        <v>178</v>
      </c>
      <c r="E113" s="120"/>
      <c r="F113" s="135"/>
    </row>
    <row r="114" spans="1:6" s="2" customFormat="1">
      <c r="A114" s="117"/>
      <c r="B114" s="118">
        <v>25</v>
      </c>
      <c r="C114" s="119"/>
      <c r="D114" s="119" t="s">
        <v>176</v>
      </c>
      <c r="E114" s="120"/>
      <c r="F114" s="135"/>
    </row>
    <row r="115" spans="1:6" s="2" customFormat="1">
      <c r="A115" s="117"/>
      <c r="B115" s="118">
        <v>1650</v>
      </c>
      <c r="C115" s="119"/>
      <c r="D115" s="119" t="s">
        <v>181</v>
      </c>
      <c r="E115" s="120"/>
      <c r="F115" s="137"/>
    </row>
    <row r="116" spans="1:6" s="2" customFormat="1">
      <c r="A116" s="117"/>
      <c r="B116" s="118">
        <v>165.34</v>
      </c>
      <c r="C116" s="119"/>
      <c r="D116" s="119" t="s">
        <v>184</v>
      </c>
      <c r="E116" s="120"/>
      <c r="F116" s="135"/>
    </row>
    <row r="117" spans="1:6" s="2" customFormat="1" ht="25">
      <c r="A117" s="132">
        <v>45336</v>
      </c>
      <c r="B117" s="132"/>
      <c r="C117" s="132" t="s">
        <v>237</v>
      </c>
      <c r="D117" s="132"/>
      <c r="E117" s="133" t="s">
        <v>186</v>
      </c>
      <c r="F117" s="135"/>
    </row>
    <row r="118" spans="1:6" s="2" customFormat="1">
      <c r="A118" s="117"/>
      <c r="B118" s="118">
        <v>310.54000000000002</v>
      </c>
      <c r="C118" s="119"/>
      <c r="D118" s="119" t="s">
        <v>178</v>
      </c>
      <c r="E118" s="120"/>
      <c r="F118" s="135"/>
    </row>
    <row r="119" spans="1:6" s="2" customFormat="1">
      <c r="A119" s="117"/>
      <c r="B119" s="118">
        <v>3</v>
      </c>
      <c r="C119" s="119"/>
      <c r="D119" s="119" t="s">
        <v>176</v>
      </c>
      <c r="E119" s="120"/>
      <c r="F119" s="135"/>
    </row>
    <row r="120" spans="1:6" s="2" customFormat="1">
      <c r="A120" s="117"/>
      <c r="B120" s="118">
        <v>44.25</v>
      </c>
      <c r="C120" s="119"/>
      <c r="D120" s="119" t="s">
        <v>184</v>
      </c>
      <c r="E120" s="120"/>
      <c r="F120" s="135"/>
    </row>
    <row r="121" spans="1:6" s="2" customFormat="1" ht="29.5" customHeight="1">
      <c r="A121" s="132">
        <v>45345</v>
      </c>
      <c r="B121" s="132"/>
      <c r="C121" s="132" t="s">
        <v>240</v>
      </c>
      <c r="D121" s="132"/>
      <c r="E121" s="133" t="s">
        <v>183</v>
      </c>
      <c r="F121" s="135"/>
    </row>
    <row r="122" spans="1:6" s="2" customFormat="1">
      <c r="A122" s="117"/>
      <c r="B122" s="118">
        <v>411.21</v>
      </c>
      <c r="C122" s="119"/>
      <c r="D122" s="119" t="s">
        <v>178</v>
      </c>
      <c r="E122" s="120"/>
      <c r="F122" s="135"/>
    </row>
    <row r="123" spans="1:6" s="2" customFormat="1">
      <c r="A123" s="117"/>
      <c r="B123" s="118">
        <v>25</v>
      </c>
      <c r="C123" s="119"/>
      <c r="D123" s="119" t="s">
        <v>176</v>
      </c>
      <c r="E123" s="120"/>
      <c r="F123" s="135"/>
    </row>
    <row r="124" spans="1:6" s="2" customFormat="1">
      <c r="A124" s="117"/>
      <c r="B124" s="118">
        <v>44.91</v>
      </c>
      <c r="C124" s="119"/>
      <c r="D124" s="119" t="s">
        <v>184</v>
      </c>
      <c r="E124" s="120"/>
      <c r="F124" s="135"/>
    </row>
    <row r="125" spans="1:6" s="2" customFormat="1" ht="28" customHeight="1">
      <c r="A125" s="132" t="s">
        <v>241</v>
      </c>
      <c r="B125" s="132"/>
      <c r="C125" s="132" t="s">
        <v>242</v>
      </c>
      <c r="D125" s="132"/>
      <c r="E125" s="133" t="s">
        <v>244</v>
      </c>
      <c r="F125" s="135"/>
    </row>
    <row r="126" spans="1:6" s="2" customFormat="1">
      <c r="A126" s="117"/>
      <c r="B126" s="118">
        <v>485.01</v>
      </c>
      <c r="C126" s="119"/>
      <c r="D126" s="119" t="s">
        <v>178</v>
      </c>
      <c r="E126" s="120"/>
      <c r="F126" s="135"/>
    </row>
    <row r="127" spans="1:6" s="2" customFormat="1">
      <c r="A127" s="117"/>
      <c r="B127" s="118">
        <v>78</v>
      </c>
      <c r="C127" s="119"/>
      <c r="D127" s="119" t="s">
        <v>176</v>
      </c>
      <c r="E127" s="120"/>
      <c r="F127" s="135"/>
    </row>
    <row r="128" spans="1:6" s="2" customFormat="1">
      <c r="A128" s="117"/>
      <c r="B128" s="118">
        <v>247.61</v>
      </c>
      <c r="C128" s="119"/>
      <c r="D128" s="119" t="s">
        <v>181</v>
      </c>
      <c r="E128" s="120"/>
      <c r="F128" s="135"/>
    </row>
    <row r="129" spans="1:6" s="2" customFormat="1">
      <c r="A129" s="117"/>
      <c r="B129" s="118">
        <v>44.91</v>
      </c>
      <c r="C129" s="119"/>
      <c r="D129" s="119" t="s">
        <v>184</v>
      </c>
      <c r="E129" s="120"/>
      <c r="F129" s="135"/>
    </row>
    <row r="130" spans="1:6" s="2" customFormat="1" ht="27.65" customHeight="1">
      <c r="A130" s="132">
        <v>45357</v>
      </c>
      <c r="B130" s="132"/>
      <c r="C130" s="132" t="s">
        <v>246</v>
      </c>
      <c r="D130" s="132"/>
      <c r="E130" s="133" t="s">
        <v>245</v>
      </c>
      <c r="F130" s="135"/>
    </row>
    <row r="131" spans="1:6" s="2" customFormat="1">
      <c r="A131" s="117"/>
      <c r="B131" s="118">
        <v>538.03</v>
      </c>
      <c r="C131" s="119"/>
      <c r="D131" s="119" t="s">
        <v>178</v>
      </c>
      <c r="E131" s="120"/>
      <c r="F131" s="135"/>
    </row>
    <row r="132" spans="1:6" s="2" customFormat="1">
      <c r="A132" s="117"/>
      <c r="B132" s="118">
        <v>3</v>
      </c>
      <c r="C132" s="119"/>
      <c r="D132" s="119" t="s">
        <v>176</v>
      </c>
      <c r="E132" s="120"/>
      <c r="F132" s="135"/>
    </row>
    <row r="133" spans="1:6" s="2" customFormat="1">
      <c r="A133" s="117"/>
      <c r="B133" s="118">
        <f>44.91</f>
        <v>44.91</v>
      </c>
      <c r="C133" s="119"/>
      <c r="D133" s="119" t="s">
        <v>184</v>
      </c>
      <c r="E133" s="120"/>
      <c r="F133" s="135"/>
    </row>
    <row r="134" spans="1:6" s="2" customFormat="1" ht="22.5" customHeight="1">
      <c r="A134" s="132" t="s">
        <v>247</v>
      </c>
      <c r="B134" s="132"/>
      <c r="C134" s="132" t="s">
        <v>285</v>
      </c>
      <c r="D134" s="132"/>
      <c r="E134" s="133" t="s">
        <v>258</v>
      </c>
      <c r="F134" s="135"/>
    </row>
    <row r="135" spans="1:6" s="2" customFormat="1">
      <c r="A135" s="117"/>
      <c r="B135" s="118">
        <v>338.4</v>
      </c>
      <c r="C135" s="119"/>
      <c r="D135" s="119" t="s">
        <v>178</v>
      </c>
      <c r="E135" s="120"/>
      <c r="F135" s="135"/>
    </row>
    <row r="136" spans="1:6" s="2" customFormat="1">
      <c r="A136" s="117"/>
      <c r="B136" s="118">
        <v>56</v>
      </c>
      <c r="C136" s="119"/>
      <c r="D136" s="119" t="s">
        <v>176</v>
      </c>
      <c r="E136" s="120"/>
      <c r="F136" s="135"/>
    </row>
    <row r="137" spans="1:6" s="2" customFormat="1">
      <c r="A137" s="117"/>
      <c r="B137" s="118">
        <v>485.22</v>
      </c>
      <c r="C137" s="119"/>
      <c r="D137" s="119" t="s">
        <v>181</v>
      </c>
      <c r="E137" s="120"/>
      <c r="F137" s="135"/>
    </row>
    <row r="138" spans="1:6" s="2" customFormat="1">
      <c r="A138" s="117"/>
      <c r="B138" s="118">
        <v>89.82</v>
      </c>
      <c r="C138" s="119"/>
      <c r="D138" s="119" t="s">
        <v>184</v>
      </c>
      <c r="E138" s="120"/>
      <c r="F138" s="135"/>
    </row>
    <row r="139" spans="1:6" s="2" customFormat="1">
      <c r="A139" s="117"/>
      <c r="B139" s="138">
        <v>56.63</v>
      </c>
      <c r="C139" s="139"/>
      <c r="D139" s="139" t="s">
        <v>267</v>
      </c>
      <c r="E139" s="120"/>
      <c r="F139" s="135"/>
    </row>
    <row r="140" spans="1:6" s="2" customFormat="1">
      <c r="A140" s="132">
        <v>45413</v>
      </c>
      <c r="B140" s="132"/>
      <c r="C140" s="132" t="s">
        <v>250</v>
      </c>
      <c r="D140" s="132"/>
      <c r="E140" s="133"/>
      <c r="F140" s="135"/>
    </row>
    <row r="141" spans="1:6" s="2" customFormat="1">
      <c r="A141" s="117"/>
      <c r="B141" s="118">
        <v>59</v>
      </c>
      <c r="C141" s="119"/>
      <c r="D141" s="119" t="s">
        <v>176</v>
      </c>
      <c r="E141" s="120"/>
      <c r="F141" s="135"/>
    </row>
    <row r="142" spans="1:6" s="2" customFormat="1">
      <c r="A142" s="132">
        <v>45421</v>
      </c>
      <c r="B142" s="132"/>
      <c r="C142" s="132" t="s">
        <v>260</v>
      </c>
      <c r="D142" s="132"/>
      <c r="E142" s="133"/>
      <c r="F142" s="135"/>
    </row>
    <row r="143" spans="1:6" s="2" customFormat="1">
      <c r="A143" s="117"/>
      <c r="B143" s="138">
        <v>28</v>
      </c>
      <c r="C143" s="139"/>
      <c r="D143" s="139" t="s">
        <v>176</v>
      </c>
      <c r="E143" s="120"/>
      <c r="F143" s="135"/>
    </row>
    <row r="144" spans="1:6" s="2" customFormat="1" ht="28" customHeight="1">
      <c r="A144" s="132">
        <v>45426</v>
      </c>
      <c r="B144" s="132"/>
      <c r="C144" s="132" t="s">
        <v>262</v>
      </c>
      <c r="D144" s="132"/>
      <c r="E144" s="133" t="s">
        <v>183</v>
      </c>
      <c r="F144" s="135"/>
    </row>
    <row r="145" spans="1:6" s="2" customFormat="1">
      <c r="A145" s="117"/>
      <c r="B145" s="138">
        <v>424.81</v>
      </c>
      <c r="C145" s="139"/>
      <c r="D145" s="119" t="s">
        <v>178</v>
      </c>
      <c r="E145" s="120"/>
      <c r="F145" s="135"/>
    </row>
    <row r="146" spans="1:6" s="2" customFormat="1">
      <c r="A146" s="117"/>
      <c r="B146" s="138">
        <v>28</v>
      </c>
      <c r="C146" s="139"/>
      <c r="D146" s="119" t="s">
        <v>176</v>
      </c>
      <c r="E146" s="120"/>
      <c r="F146" s="135"/>
    </row>
    <row r="147" spans="1:6" s="2" customFormat="1">
      <c r="A147" s="117"/>
      <c r="B147" s="138">
        <v>44.91</v>
      </c>
      <c r="C147" s="139"/>
      <c r="D147" s="119" t="s">
        <v>184</v>
      </c>
      <c r="E147" s="120"/>
      <c r="F147" s="143"/>
    </row>
    <row r="148" spans="1:6" s="2" customFormat="1">
      <c r="A148" s="132" t="s">
        <v>251</v>
      </c>
      <c r="B148" s="132"/>
      <c r="C148" s="132" t="s">
        <v>252</v>
      </c>
      <c r="D148" s="132"/>
      <c r="E148" s="133"/>
      <c r="F148" s="135"/>
    </row>
    <row r="149" spans="1:6" s="2" customFormat="1">
      <c r="A149" s="117"/>
      <c r="B149" s="118">
        <v>106</v>
      </c>
      <c r="C149" s="119"/>
      <c r="D149" s="119" t="s">
        <v>176</v>
      </c>
      <c r="E149" s="120"/>
      <c r="F149" s="135"/>
    </row>
    <row r="150" spans="1:6" s="2" customFormat="1" ht="26.5" customHeight="1">
      <c r="A150" s="132">
        <v>45440</v>
      </c>
      <c r="B150" s="132"/>
      <c r="C150" s="132" t="s">
        <v>263</v>
      </c>
      <c r="D150" s="132"/>
      <c r="E150" s="133" t="s">
        <v>248</v>
      </c>
      <c r="F150" s="135"/>
    </row>
    <row r="151" spans="1:6" s="2" customFormat="1">
      <c r="A151" s="117"/>
      <c r="B151" s="118">
        <v>376.02</v>
      </c>
      <c r="C151" s="119"/>
      <c r="D151" s="119" t="s">
        <v>178</v>
      </c>
      <c r="E151" s="120"/>
      <c r="F151" s="135"/>
    </row>
    <row r="152" spans="1:6" s="2" customFormat="1">
      <c r="A152" s="117"/>
      <c r="B152" s="118">
        <v>25</v>
      </c>
      <c r="C152" s="119"/>
      <c r="D152" s="119" t="s">
        <v>176</v>
      </c>
      <c r="E152" s="120"/>
      <c r="F152" s="135"/>
    </row>
    <row r="153" spans="1:6" s="2" customFormat="1">
      <c r="A153" s="117"/>
      <c r="B153" s="118">
        <f>50.03</f>
        <v>50.03</v>
      </c>
      <c r="C153" s="119"/>
      <c r="D153" s="119" t="s">
        <v>184</v>
      </c>
      <c r="E153" s="120"/>
      <c r="F153" s="143"/>
    </row>
    <row r="154" spans="1:6" s="2" customFormat="1" ht="27.65" customHeight="1">
      <c r="A154" s="132" t="s">
        <v>253</v>
      </c>
      <c r="B154" s="132"/>
      <c r="C154" s="132" t="s">
        <v>264</v>
      </c>
      <c r="D154" s="132"/>
      <c r="E154" s="133" t="s">
        <v>183</v>
      </c>
      <c r="F154" s="135"/>
    </row>
    <row r="155" spans="1:6" s="2" customFormat="1">
      <c r="A155" s="117"/>
      <c r="B155" s="118">
        <v>459.21</v>
      </c>
      <c r="C155" s="119"/>
      <c r="D155" s="119" t="s">
        <v>178</v>
      </c>
      <c r="E155" s="120"/>
      <c r="F155" s="135"/>
    </row>
    <row r="156" spans="1:6" s="2" customFormat="1">
      <c r="A156" s="117"/>
      <c r="B156" s="118">
        <v>50</v>
      </c>
      <c r="C156" s="119"/>
      <c r="D156" s="119" t="s">
        <v>176</v>
      </c>
      <c r="E156" s="120"/>
      <c r="F156" s="135"/>
    </row>
    <row r="157" spans="1:6" s="2" customFormat="1">
      <c r="A157" s="117"/>
      <c r="B157" s="118">
        <v>257.48</v>
      </c>
      <c r="C157" s="119"/>
      <c r="D157" s="119" t="s">
        <v>181</v>
      </c>
      <c r="E157" s="120"/>
      <c r="F157" s="135"/>
    </row>
    <row r="158" spans="1:6" s="2" customFormat="1">
      <c r="A158" s="117"/>
      <c r="B158" s="118">
        <v>44.91</v>
      </c>
      <c r="C158" s="119"/>
      <c r="D158" s="119" t="s">
        <v>184</v>
      </c>
      <c r="E158" s="120"/>
      <c r="F158" s="135"/>
    </row>
    <row r="159" spans="1:6" s="2" customFormat="1" ht="27.65" customHeight="1">
      <c r="A159" s="132">
        <v>45457</v>
      </c>
      <c r="B159" s="132"/>
      <c r="C159" s="132" t="s">
        <v>265</v>
      </c>
      <c r="D159" s="132"/>
      <c r="E159" s="133" t="s">
        <v>183</v>
      </c>
      <c r="F159" s="135"/>
    </row>
    <row r="160" spans="1:6" s="2" customFormat="1">
      <c r="A160" s="117"/>
      <c r="B160" s="118">
        <v>562.41</v>
      </c>
      <c r="C160" s="119"/>
      <c r="D160" s="119" t="s">
        <v>178</v>
      </c>
      <c r="E160" s="120"/>
      <c r="F160" s="135"/>
    </row>
    <row r="161" spans="1:6" s="2" customFormat="1">
      <c r="A161" s="117"/>
      <c r="B161" s="118">
        <v>62</v>
      </c>
      <c r="C161" s="119"/>
      <c r="D161" s="119" t="s">
        <v>176</v>
      </c>
      <c r="E161" s="120"/>
      <c r="F161" s="135"/>
    </row>
    <row r="162" spans="1:6" s="2" customFormat="1">
      <c r="A162" s="117"/>
      <c r="B162" s="118">
        <v>44.91</v>
      </c>
      <c r="C162" s="119"/>
      <c r="D162" s="119" t="s">
        <v>184</v>
      </c>
      <c r="E162" s="120"/>
      <c r="F162" s="135"/>
    </row>
    <row r="163" spans="1:6" s="2" customFormat="1" ht="25">
      <c r="A163" s="132">
        <v>45466</v>
      </c>
      <c r="B163" s="132"/>
      <c r="C163" s="132" t="s">
        <v>266</v>
      </c>
      <c r="D163" s="132"/>
      <c r="E163" s="133" t="s">
        <v>254</v>
      </c>
      <c r="F163" s="135"/>
    </row>
    <row r="164" spans="1:6" s="2" customFormat="1">
      <c r="A164" s="117"/>
      <c r="B164" s="118">
        <v>768</v>
      </c>
      <c r="C164" s="119"/>
      <c r="D164" s="119" t="s">
        <v>178</v>
      </c>
      <c r="E164" s="120"/>
      <c r="F164" s="144"/>
    </row>
    <row r="165" spans="1:6" s="2" customFormat="1">
      <c r="A165" s="117"/>
      <c r="B165" s="118">
        <v>69</v>
      </c>
      <c r="C165" s="119"/>
      <c r="D165" s="119" t="s">
        <v>176</v>
      </c>
      <c r="E165" s="120"/>
      <c r="F165" s="135"/>
    </row>
    <row r="166" spans="1:6" s="2" customFormat="1">
      <c r="A166" s="117"/>
      <c r="B166" s="118">
        <v>44.91</v>
      </c>
      <c r="C166" s="119"/>
      <c r="D166" s="119" t="s">
        <v>184</v>
      </c>
      <c r="E166" s="120"/>
      <c r="F166" s="135"/>
    </row>
    <row r="167" spans="1:6" s="2" customFormat="1" hidden="1">
      <c r="A167" s="108"/>
      <c r="B167" s="109"/>
      <c r="C167" s="110"/>
      <c r="D167" s="110"/>
      <c r="E167" s="111"/>
      <c r="F167" s="1"/>
    </row>
    <row r="168" spans="1:6" ht="19.5" customHeight="1">
      <c r="A168" s="71" t="s">
        <v>127</v>
      </c>
      <c r="B168" s="72">
        <f>SUM(B33:B167)</f>
        <v>23181.059999999998</v>
      </c>
      <c r="C168" s="128" t="str">
        <f>IF(SUBTOTAL(3,B33:B167)=SUBTOTAL(103,B33:B167),'Summary and sign-off'!$A$48,'Summary and sign-off'!$A$49)</f>
        <v>Check - there are no hidden rows with data</v>
      </c>
      <c r="D168" s="154" t="str">
        <f>IF('Summary and sign-off'!F56='Summary and sign-off'!F54,'Summary and sign-off'!A51,'Summary and sign-off'!A50)</f>
        <v>Check - each entry provides sufficient information</v>
      </c>
      <c r="E168" s="154"/>
      <c r="F168" s="17"/>
    </row>
    <row r="169" spans="1:6" ht="10.5" customHeight="1">
      <c r="A169" s="17"/>
      <c r="B169" s="19"/>
      <c r="C169" s="17"/>
      <c r="D169" s="17"/>
      <c r="E169" s="17"/>
      <c r="F169" s="17"/>
    </row>
    <row r="170" spans="1:6" ht="24.75" customHeight="1">
      <c r="A170" s="156" t="s">
        <v>128</v>
      </c>
      <c r="B170" s="156"/>
      <c r="C170" s="156"/>
      <c r="D170" s="156"/>
      <c r="E170" s="156"/>
      <c r="F170" s="17"/>
    </row>
    <row r="171" spans="1:6" ht="27" customHeight="1">
      <c r="A171" s="24" t="s">
        <v>119</v>
      </c>
      <c r="B171" s="24" t="s">
        <v>63</v>
      </c>
      <c r="C171" s="24" t="s">
        <v>129</v>
      </c>
      <c r="D171" s="24" t="s">
        <v>130</v>
      </c>
      <c r="E171" s="24" t="s">
        <v>123</v>
      </c>
      <c r="F171" s="28"/>
    </row>
    <row r="172" spans="1:6" s="2" customFormat="1">
      <c r="A172" s="117"/>
      <c r="B172" s="118"/>
      <c r="C172" s="119"/>
      <c r="D172" s="119"/>
      <c r="E172" s="120"/>
      <c r="F172" s="1"/>
    </row>
    <row r="173" spans="1:6" s="2" customFormat="1">
      <c r="A173" s="117"/>
      <c r="B173" s="118"/>
      <c r="C173" s="119"/>
      <c r="D173" s="119"/>
      <c r="E173" s="120"/>
      <c r="F173" s="1"/>
    </row>
    <row r="174" spans="1:6" s="2" customFormat="1">
      <c r="A174" s="117"/>
      <c r="B174" s="118"/>
      <c r="C174" s="119"/>
      <c r="D174" s="119"/>
      <c r="E174" s="120"/>
      <c r="F174" s="1"/>
    </row>
    <row r="175" spans="1:6" s="2" customFormat="1">
      <c r="A175" s="117"/>
      <c r="B175" s="118"/>
      <c r="C175" s="119"/>
      <c r="D175" s="119"/>
      <c r="E175" s="120"/>
      <c r="F175" s="1"/>
    </row>
    <row r="176" spans="1:6" s="2" customFormat="1">
      <c r="A176" s="117"/>
      <c r="B176" s="118"/>
      <c r="C176" s="119"/>
      <c r="D176" s="119"/>
      <c r="E176" s="120"/>
      <c r="F176" s="1"/>
    </row>
    <row r="177" spans="1:6" s="2" customFormat="1">
      <c r="A177" s="117"/>
      <c r="B177" s="118"/>
      <c r="C177" s="119"/>
      <c r="D177" s="119"/>
      <c r="E177" s="120"/>
      <c r="F177" s="1"/>
    </row>
    <row r="178" spans="1:6" s="2" customFormat="1">
      <c r="A178" s="117"/>
      <c r="B178" s="118"/>
      <c r="C178" s="119"/>
      <c r="D178" s="119"/>
      <c r="E178" s="120"/>
      <c r="F178" s="1"/>
    </row>
    <row r="179" spans="1:6" s="2" customFormat="1">
      <c r="A179" s="117"/>
      <c r="B179" s="118"/>
      <c r="C179" s="119"/>
      <c r="D179" s="119"/>
      <c r="E179" s="120"/>
      <c r="F179" s="1"/>
    </row>
    <row r="180" spans="1:6" s="2" customFormat="1">
      <c r="A180" s="117"/>
      <c r="B180" s="118"/>
      <c r="C180" s="119"/>
      <c r="D180" s="119"/>
      <c r="E180" s="120"/>
      <c r="F180" s="1"/>
    </row>
    <row r="181" spans="1:6" s="2" customFormat="1">
      <c r="A181" s="117"/>
      <c r="B181" s="118"/>
      <c r="C181" s="119"/>
      <c r="D181" s="119"/>
      <c r="E181" s="120"/>
      <c r="F181" s="1"/>
    </row>
    <row r="182" spans="1:6" s="2" customFormat="1">
      <c r="A182" s="117"/>
      <c r="B182" s="118"/>
      <c r="C182" s="119"/>
      <c r="D182" s="119"/>
      <c r="E182" s="120"/>
      <c r="F182" s="1"/>
    </row>
    <row r="183" spans="1:6" s="2" customFormat="1">
      <c r="A183" s="117"/>
      <c r="B183" s="118"/>
      <c r="C183" s="119"/>
      <c r="D183" s="119"/>
      <c r="E183" s="120"/>
      <c r="F183" s="1"/>
    </row>
    <row r="184" spans="1:6" s="2" customFormat="1">
      <c r="A184" s="117"/>
      <c r="B184" s="118"/>
      <c r="C184" s="119"/>
      <c r="D184" s="119"/>
      <c r="E184" s="120"/>
      <c r="F184" s="1"/>
    </row>
    <row r="185" spans="1:6" s="2" customFormat="1">
      <c r="A185" s="117"/>
      <c r="B185" s="118"/>
      <c r="C185" s="119"/>
      <c r="D185" s="119"/>
      <c r="E185" s="120"/>
      <c r="F185" s="1"/>
    </row>
    <row r="186" spans="1:6" s="2" customFormat="1" hidden="1">
      <c r="A186" s="94"/>
      <c r="B186" s="95"/>
      <c r="C186" s="96"/>
      <c r="D186" s="96"/>
      <c r="E186" s="97"/>
      <c r="F186" s="1"/>
    </row>
    <row r="187" spans="1:6" ht="19.5" customHeight="1">
      <c r="A187" s="71" t="s">
        <v>131</v>
      </c>
      <c r="B187" s="72">
        <f>SUM(B173:B186)</f>
        <v>0</v>
      </c>
      <c r="C187" s="128" t="str">
        <f>IF(SUBTOTAL(3,B173:B186)=SUBTOTAL(103,B173:B186),'Summary and sign-off'!$A$48,'Summary and sign-off'!$A$49)</f>
        <v>Check - there are no hidden rows with data</v>
      </c>
      <c r="D187" s="154" t="str">
        <f>IF('Summary and sign-off'!F57='Summary and sign-off'!F54,'Summary and sign-off'!A51,'Summary and sign-off'!A50)</f>
        <v>Check - each entry provides sufficient information</v>
      </c>
      <c r="E187" s="154"/>
      <c r="F187" s="17"/>
    </row>
    <row r="188" spans="1:6" ht="10.5" customHeight="1">
      <c r="A188" s="17"/>
      <c r="B188" s="57"/>
      <c r="C188" s="19"/>
      <c r="D188" s="17"/>
      <c r="E188" s="17"/>
      <c r="F188" s="17"/>
    </row>
    <row r="189" spans="1:6" ht="34.5" customHeight="1">
      <c r="A189" s="31" t="s">
        <v>132</v>
      </c>
      <c r="B189" s="58">
        <f>B29+B168+B187</f>
        <v>40097.399999999994</v>
      </c>
      <c r="C189" s="32"/>
      <c r="D189" s="32"/>
      <c r="E189" s="32"/>
      <c r="F189" s="17"/>
    </row>
    <row r="190" spans="1:6" ht="13">
      <c r="A190" s="17"/>
      <c r="B190" s="19"/>
      <c r="C190" s="17"/>
      <c r="D190" s="17"/>
      <c r="E190" s="17"/>
      <c r="F190" s="17"/>
    </row>
    <row r="191" spans="1:6" ht="13">
      <c r="A191" s="18" t="s">
        <v>74</v>
      </c>
      <c r="B191" s="19"/>
      <c r="C191" s="17"/>
      <c r="D191" s="17"/>
      <c r="E191" s="17"/>
      <c r="F191" s="17"/>
    </row>
    <row r="192" spans="1:6" ht="12.65" customHeight="1">
      <c r="A192" s="20" t="s">
        <v>133</v>
      </c>
      <c r="F192" s="17"/>
    </row>
    <row r="193" spans="1:6" ht="13" customHeight="1">
      <c r="A193" s="20" t="s">
        <v>134</v>
      </c>
      <c r="B193" s="17"/>
      <c r="D193" s="17"/>
      <c r="F193" s="17"/>
    </row>
    <row r="194" spans="1:6">
      <c r="A194" s="20" t="s">
        <v>135</v>
      </c>
      <c r="F194" s="17"/>
    </row>
    <row r="195" spans="1:6" ht="13">
      <c r="A195" s="20" t="s">
        <v>80</v>
      </c>
      <c r="B195" s="19"/>
      <c r="C195" s="17"/>
      <c r="D195" s="17"/>
      <c r="E195" s="17"/>
      <c r="F195" s="17"/>
    </row>
    <row r="196" spans="1:6" ht="13" customHeight="1">
      <c r="A196" s="20" t="s">
        <v>136</v>
      </c>
      <c r="B196" s="17"/>
      <c r="D196" s="17"/>
      <c r="F196" s="17"/>
    </row>
    <row r="197" spans="1:6">
      <c r="A197" s="20" t="s">
        <v>137</v>
      </c>
      <c r="F197" s="17"/>
    </row>
    <row r="198" spans="1:6">
      <c r="A198" s="20" t="s">
        <v>138</v>
      </c>
      <c r="B198" s="20"/>
      <c r="C198" s="20"/>
      <c r="D198" s="20"/>
      <c r="F198" s="17"/>
    </row>
    <row r="199" spans="1:6">
      <c r="A199" s="26"/>
      <c r="B199" s="17"/>
      <c r="C199" s="17"/>
      <c r="D199" s="17"/>
      <c r="E199" s="17"/>
      <c r="F199" s="17"/>
    </row>
    <row r="200" spans="1:6" hidden="1">
      <c r="A200" s="26"/>
      <c r="B200" s="17"/>
      <c r="C200" s="17"/>
      <c r="D200" s="17"/>
      <c r="E200" s="17"/>
      <c r="F200" s="17"/>
    </row>
    <row r="201" spans="1:6"/>
    <row r="202" spans="1:6"/>
    <row r="203" spans="1:6"/>
    <row r="204" spans="1:6"/>
    <row r="205" spans="1:6" ht="12.75" hidden="1" customHeight="1"/>
    <row r="206" spans="1:6"/>
    <row r="207" spans="1:6"/>
    <row r="208" spans="1:6" hidden="1">
      <c r="A208" s="26"/>
      <c r="B208" s="17"/>
      <c r="C208" s="17"/>
      <c r="D208" s="17"/>
      <c r="E208" s="17"/>
      <c r="F208" s="17"/>
    </row>
    <row r="209" spans="1:6" hidden="1">
      <c r="A209" s="26"/>
      <c r="B209" s="17"/>
      <c r="C209" s="17"/>
      <c r="D209" s="17"/>
      <c r="E209" s="17"/>
      <c r="F209" s="17"/>
    </row>
    <row r="210" spans="1:6" hidden="1">
      <c r="A210" s="26"/>
      <c r="B210" s="17"/>
      <c r="C210" s="17"/>
      <c r="D210" s="17"/>
      <c r="E210" s="17"/>
      <c r="F210" s="17"/>
    </row>
    <row r="211" spans="1:6" hidden="1">
      <c r="A211" s="26"/>
      <c r="B211" s="17"/>
      <c r="C211" s="17"/>
      <c r="D211" s="17"/>
      <c r="E211" s="17"/>
      <c r="F211" s="17"/>
    </row>
    <row r="212" spans="1:6" hidden="1">
      <c r="A212" s="26"/>
      <c r="B212" s="17"/>
      <c r="C212" s="17"/>
      <c r="D212" s="17"/>
      <c r="E212" s="17"/>
      <c r="F212" s="17"/>
    </row>
    <row r="213" spans="1:6"/>
    <row r="214" spans="1:6"/>
    <row r="215" spans="1:6"/>
    <row r="216" spans="1:6"/>
    <row r="217" spans="1:6"/>
    <row r="218" spans="1:6"/>
    <row r="219" spans="1:6"/>
    <row r="220" spans="1:6"/>
    <row r="221" spans="1:6"/>
    <row r="222" spans="1:6"/>
    <row r="223" spans="1:6"/>
    <row r="224" spans="1:6"/>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sheetData>
  <sheetProtection sheet="1" formatCells="0" formatRows="0" insertColumns="0" insertRows="0" deleteRows="0"/>
  <mergeCells count="15">
    <mergeCell ref="B7:E7"/>
    <mergeCell ref="B5:E5"/>
    <mergeCell ref="D187:E187"/>
    <mergeCell ref="A1:E1"/>
    <mergeCell ref="A31:E31"/>
    <mergeCell ref="A170:E170"/>
    <mergeCell ref="B2:E2"/>
    <mergeCell ref="B3:E3"/>
    <mergeCell ref="B4:E4"/>
    <mergeCell ref="A8:E8"/>
    <mergeCell ref="A9:E9"/>
    <mergeCell ref="B6:E6"/>
    <mergeCell ref="D29:E29"/>
    <mergeCell ref="D168:E16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3 A12 A27:A28 A173 A186 A16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71 A3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6 A173:A185 A34:A16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B12:B28 B173:B186 B33:B167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1" sqref="A11"/>
    </sheetView>
  </sheetViews>
  <sheetFormatPr defaultColWidth="0" defaultRowHeight="12.5" zeroHeight="1"/>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c r="A1" s="155" t="s">
        <v>110</v>
      </c>
      <c r="B1" s="155"/>
      <c r="C1" s="155"/>
      <c r="D1" s="155"/>
      <c r="E1" s="155"/>
    </row>
    <row r="2" spans="1:6" ht="21" customHeight="1">
      <c r="A2" s="3" t="s">
        <v>111</v>
      </c>
      <c r="B2" s="153" t="str">
        <f>'Summary and sign-off'!B2:F2</f>
        <v>New Zealand Police</v>
      </c>
      <c r="C2" s="153"/>
      <c r="D2" s="153"/>
      <c r="E2" s="153"/>
    </row>
    <row r="3" spans="1:6" ht="31">
      <c r="A3" s="3" t="s">
        <v>112</v>
      </c>
      <c r="B3" s="153" t="str">
        <f>'Summary and sign-off'!B3:F3</f>
        <v>Andrew Coster</v>
      </c>
      <c r="C3" s="153"/>
      <c r="D3" s="153"/>
      <c r="E3" s="153"/>
    </row>
    <row r="4" spans="1:6" ht="21" customHeight="1">
      <c r="A4" s="3" t="s">
        <v>113</v>
      </c>
      <c r="B4" s="153">
        <f>'Summary and sign-off'!B4:F4</f>
        <v>45108</v>
      </c>
      <c r="C4" s="153"/>
      <c r="D4" s="153"/>
      <c r="E4" s="153"/>
    </row>
    <row r="5" spans="1:6" ht="21" customHeight="1">
      <c r="A5" s="3" t="s">
        <v>114</v>
      </c>
      <c r="B5" s="153">
        <f>'Summary and sign-off'!B5:F5</f>
        <v>45473</v>
      </c>
      <c r="C5" s="153"/>
      <c r="D5" s="153"/>
      <c r="E5" s="153"/>
    </row>
    <row r="6" spans="1:6" ht="21" customHeight="1">
      <c r="A6" s="3" t="s">
        <v>115</v>
      </c>
      <c r="B6" s="148" t="s">
        <v>81</v>
      </c>
      <c r="C6" s="148"/>
      <c r="D6" s="148"/>
      <c r="E6" s="148"/>
    </row>
    <row r="7" spans="1:6" ht="21" customHeight="1">
      <c r="A7" s="3" t="s">
        <v>56</v>
      </c>
      <c r="B7" s="148" t="s">
        <v>84</v>
      </c>
      <c r="C7" s="148"/>
      <c r="D7" s="148"/>
      <c r="E7" s="148"/>
    </row>
    <row r="8" spans="1:6" ht="35.25" customHeight="1">
      <c r="A8" s="164" t="s">
        <v>139</v>
      </c>
      <c r="B8" s="164"/>
      <c r="C8" s="165"/>
      <c r="D8" s="165"/>
      <c r="E8" s="165"/>
      <c r="F8" s="27"/>
    </row>
    <row r="9" spans="1:6" ht="35.25" customHeight="1">
      <c r="A9" s="162" t="s">
        <v>140</v>
      </c>
      <c r="B9" s="163"/>
      <c r="C9" s="163"/>
      <c r="D9" s="163"/>
      <c r="E9" s="163"/>
      <c r="F9" s="27"/>
    </row>
    <row r="10" spans="1:6" ht="27" customHeight="1">
      <c r="A10" s="24" t="s">
        <v>141</v>
      </c>
      <c r="B10" s="24" t="s">
        <v>63</v>
      </c>
      <c r="C10" s="24" t="s">
        <v>142</v>
      </c>
      <c r="D10" s="24" t="s">
        <v>143</v>
      </c>
      <c r="E10" s="24" t="s">
        <v>123</v>
      </c>
      <c r="F10" s="20"/>
    </row>
    <row r="11" spans="1:6" s="2" customFormat="1">
      <c r="A11" s="121" t="s">
        <v>288</v>
      </c>
      <c r="B11" s="118"/>
      <c r="C11" s="122"/>
      <c r="D11" s="122"/>
      <c r="E11" s="123"/>
    </row>
    <row r="12" spans="1:6" s="2" customFormat="1">
      <c r="A12" s="117"/>
      <c r="B12" s="118"/>
      <c r="C12" s="122"/>
      <c r="D12" s="122"/>
      <c r="E12" s="123"/>
    </row>
    <row r="13" spans="1:6" s="2" customFormat="1">
      <c r="A13" s="117"/>
      <c r="B13" s="118"/>
      <c r="C13" s="122"/>
      <c r="D13" s="122"/>
      <c r="E13" s="123"/>
    </row>
    <row r="14" spans="1:6" s="2" customFormat="1">
      <c r="A14" s="117"/>
      <c r="B14" s="118"/>
      <c r="C14" s="122"/>
      <c r="D14" s="122"/>
      <c r="E14" s="123"/>
    </row>
    <row r="15" spans="1:6" s="2" customFormat="1">
      <c r="A15" s="117"/>
      <c r="B15" s="118"/>
      <c r="C15" s="122"/>
      <c r="D15" s="122"/>
      <c r="E15" s="123"/>
    </row>
    <row r="16" spans="1:6" s="2" customFormat="1">
      <c r="A16" s="117"/>
      <c r="B16" s="118"/>
      <c r="C16" s="122"/>
      <c r="D16" s="122"/>
      <c r="E16" s="123"/>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t="11.25" hidden="1" customHeight="1">
      <c r="A24" s="98"/>
      <c r="B24" s="95"/>
      <c r="C24" s="99"/>
      <c r="D24" s="99"/>
      <c r="E24" s="100"/>
    </row>
    <row r="25" spans="1:6" ht="34.5" customHeight="1">
      <c r="A25" s="53" t="s">
        <v>144</v>
      </c>
      <c r="B25" s="62">
        <f>SUM(B11:B24)</f>
        <v>0</v>
      </c>
      <c r="C25" s="70" t="str">
        <f>IF(SUBTOTAL(3,B11:B24)=SUBTOTAL(103,B11:B24),'Summary and sign-off'!$A$48,'Summary and sign-off'!$A$49)</f>
        <v>Check - there are no hidden rows with data</v>
      </c>
      <c r="D25" s="154" t="str">
        <f>IF('Summary and sign-off'!F58='Summary and sign-off'!F54,'Summary and sign-off'!A51,'Summary and sign-off'!A50)</f>
        <v>Check - each entry provides sufficient information</v>
      </c>
      <c r="E25" s="154"/>
      <c r="F25" s="2"/>
    </row>
    <row r="26" spans="1:6" ht="13">
      <c r="A26" s="18"/>
      <c r="B26" s="17"/>
      <c r="C26" s="17"/>
      <c r="D26" s="17"/>
      <c r="E26" s="17"/>
    </row>
    <row r="27" spans="1:6" ht="13">
      <c r="A27" s="18" t="s">
        <v>74</v>
      </c>
      <c r="B27" s="19"/>
      <c r="C27" s="17"/>
      <c r="D27" s="17"/>
      <c r="E27" s="17"/>
    </row>
    <row r="28" spans="1:6" ht="12.75" customHeight="1">
      <c r="A28" s="20" t="s">
        <v>145</v>
      </c>
      <c r="B28" s="20"/>
      <c r="C28" s="20"/>
      <c r="D28" s="20"/>
      <c r="E28" s="20"/>
    </row>
    <row r="29" spans="1:6">
      <c r="A29" s="20" t="s">
        <v>146</v>
      </c>
      <c r="B29" s="20"/>
      <c r="C29" s="28"/>
      <c r="D29" s="28"/>
      <c r="E29" s="28"/>
    </row>
    <row r="30" spans="1:6" ht="13">
      <c r="A30" s="20" t="s">
        <v>80</v>
      </c>
      <c r="B30" s="19"/>
      <c r="C30" s="17"/>
      <c r="D30" s="17"/>
      <c r="E30" s="17"/>
      <c r="F30" s="17"/>
    </row>
    <row r="31" spans="1:6">
      <c r="A31" s="20" t="s">
        <v>147</v>
      </c>
      <c r="B31" s="20"/>
      <c r="C31" s="28"/>
      <c r="D31" s="28"/>
      <c r="E31" s="28"/>
    </row>
    <row r="32" spans="1:6" ht="12.75" customHeight="1">
      <c r="A32" s="20" t="s">
        <v>148</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1"/>
  <sheetViews>
    <sheetView topLeftCell="B1" zoomScaleNormal="100" workbookViewId="0">
      <selection activeCell="B6" sqref="B6:E6"/>
    </sheetView>
  </sheetViews>
  <sheetFormatPr defaultColWidth="0" defaultRowHeight="12.5" zeroHeight="1"/>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c r="A1" s="155" t="s">
        <v>110</v>
      </c>
      <c r="B1" s="155"/>
      <c r="C1" s="155"/>
      <c r="D1" s="155"/>
      <c r="E1" s="155"/>
    </row>
    <row r="2" spans="1:6" ht="21" customHeight="1">
      <c r="A2" s="3" t="s">
        <v>111</v>
      </c>
      <c r="B2" s="153" t="str">
        <f>'Summary and sign-off'!B2:F2</f>
        <v>New Zealand Police</v>
      </c>
      <c r="C2" s="153"/>
      <c r="D2" s="153"/>
      <c r="E2" s="153"/>
    </row>
    <row r="3" spans="1:6" ht="31">
      <c r="A3" s="3" t="s">
        <v>149</v>
      </c>
      <c r="B3" s="153" t="str">
        <f>'Summary and sign-off'!B3:F3</f>
        <v>Andrew Coster</v>
      </c>
      <c r="C3" s="153"/>
      <c r="D3" s="153"/>
      <c r="E3" s="153"/>
    </row>
    <row r="4" spans="1:6" ht="21" customHeight="1">
      <c r="A4" s="3" t="s">
        <v>113</v>
      </c>
      <c r="B4" s="153">
        <f>'Summary and sign-off'!B4:F4</f>
        <v>45108</v>
      </c>
      <c r="C4" s="153"/>
      <c r="D4" s="153"/>
      <c r="E4" s="153"/>
    </row>
    <row r="5" spans="1:6" ht="21" customHeight="1">
      <c r="A5" s="3" t="s">
        <v>114</v>
      </c>
      <c r="B5" s="153">
        <f>'Summary and sign-off'!B5:F5</f>
        <v>45473</v>
      </c>
      <c r="C5" s="153"/>
      <c r="D5" s="153"/>
      <c r="E5" s="153"/>
    </row>
    <row r="6" spans="1:6" ht="21" customHeight="1">
      <c r="A6" s="3" t="s">
        <v>115</v>
      </c>
      <c r="B6" s="148" t="s">
        <v>81</v>
      </c>
      <c r="C6" s="148"/>
      <c r="D6" s="148"/>
      <c r="E6" s="148"/>
      <c r="F6" s="23"/>
    </row>
    <row r="7" spans="1:6" ht="21" customHeight="1">
      <c r="A7" s="3" t="s">
        <v>56</v>
      </c>
      <c r="B7" s="148" t="s">
        <v>84</v>
      </c>
      <c r="C7" s="148"/>
      <c r="D7" s="148"/>
      <c r="E7" s="148"/>
      <c r="F7" s="23"/>
    </row>
    <row r="8" spans="1:6" ht="35.25" customHeight="1">
      <c r="A8" s="158" t="s">
        <v>150</v>
      </c>
      <c r="B8" s="158"/>
      <c r="C8" s="165"/>
      <c r="D8" s="165"/>
      <c r="E8" s="165"/>
    </row>
    <row r="9" spans="1:6" ht="35.25" customHeight="1">
      <c r="A9" s="166" t="s">
        <v>151</v>
      </c>
      <c r="B9" s="167"/>
      <c r="C9" s="167"/>
      <c r="D9" s="167"/>
      <c r="E9" s="167"/>
    </row>
    <row r="10" spans="1:6" ht="27" customHeight="1">
      <c r="A10" s="24" t="s">
        <v>119</v>
      </c>
      <c r="B10" s="24" t="s">
        <v>63</v>
      </c>
      <c r="C10" s="24" t="s">
        <v>152</v>
      </c>
      <c r="D10" s="24" t="s">
        <v>153</v>
      </c>
      <c r="E10" s="24" t="s">
        <v>123</v>
      </c>
      <c r="F10" s="20"/>
    </row>
    <row r="11" spans="1:6" s="2" customFormat="1" hidden="1">
      <c r="A11" s="98"/>
      <c r="B11" s="95"/>
      <c r="C11" s="99"/>
      <c r="D11" s="99"/>
      <c r="E11" s="100"/>
    </row>
    <row r="12" spans="1:6" s="2" customFormat="1">
      <c r="A12" s="117">
        <v>45118</v>
      </c>
      <c r="B12" s="118">
        <v>46</v>
      </c>
      <c r="C12" s="119" t="s">
        <v>279</v>
      </c>
      <c r="D12" s="119" t="s">
        <v>273</v>
      </c>
      <c r="E12" s="120" t="s">
        <v>209</v>
      </c>
      <c r="F12" s="1"/>
    </row>
    <row r="13" spans="1:6" s="2" customFormat="1">
      <c r="A13" s="117">
        <v>45155</v>
      </c>
      <c r="B13" s="118">
        <v>41.1</v>
      </c>
      <c r="C13" s="119" t="s">
        <v>192</v>
      </c>
      <c r="D13" s="119" t="s">
        <v>213</v>
      </c>
      <c r="E13" s="120" t="s">
        <v>211</v>
      </c>
      <c r="F13" s="1"/>
    </row>
    <row r="14" spans="1:6" s="2" customFormat="1">
      <c r="A14" s="117">
        <v>45163</v>
      </c>
      <c r="B14" s="118">
        <v>72.099999999999994</v>
      </c>
      <c r="C14" s="119" t="s">
        <v>228</v>
      </c>
      <c r="D14" s="119" t="s">
        <v>229</v>
      </c>
      <c r="E14" s="120" t="s">
        <v>210</v>
      </c>
      <c r="F14" s="1"/>
    </row>
    <row r="15" spans="1:6" s="2" customFormat="1">
      <c r="A15" s="117">
        <v>45174</v>
      </c>
      <c r="B15" s="118">
        <v>20.3</v>
      </c>
      <c r="C15" s="119" t="s">
        <v>217</v>
      </c>
      <c r="D15" s="119" t="s">
        <v>213</v>
      </c>
      <c r="E15" s="120" t="s">
        <v>218</v>
      </c>
      <c r="F15" s="1"/>
    </row>
    <row r="16" spans="1:6" s="2" customFormat="1">
      <c r="A16" s="117">
        <v>45174</v>
      </c>
      <c r="B16" s="118">
        <v>11.89</v>
      </c>
      <c r="C16" s="119" t="s">
        <v>217</v>
      </c>
      <c r="D16" s="119" t="s">
        <v>213</v>
      </c>
      <c r="E16" s="120" t="s">
        <v>220</v>
      </c>
      <c r="F16" s="1"/>
    </row>
    <row r="17" spans="1:6" s="2" customFormat="1">
      <c r="A17" s="117">
        <v>45175</v>
      </c>
      <c r="B17" s="118">
        <v>31.5</v>
      </c>
      <c r="C17" s="119" t="s">
        <v>219</v>
      </c>
      <c r="D17" s="119" t="s">
        <v>213</v>
      </c>
      <c r="E17" s="119" t="s">
        <v>218</v>
      </c>
      <c r="F17" s="1"/>
    </row>
    <row r="18" spans="1:6" s="2" customFormat="1">
      <c r="A18" s="117">
        <v>45175</v>
      </c>
      <c r="B18" s="118">
        <v>132</v>
      </c>
      <c r="C18" s="122" t="s">
        <v>206</v>
      </c>
      <c r="D18" s="122" t="s">
        <v>207</v>
      </c>
      <c r="E18" s="123"/>
    </row>
    <row r="19" spans="1:6" s="2" customFormat="1">
      <c r="A19" s="117">
        <v>45180</v>
      </c>
      <c r="B19" s="118">
        <v>6.5</v>
      </c>
      <c r="C19" s="119" t="s">
        <v>235</v>
      </c>
      <c r="D19" s="119" t="s">
        <v>214</v>
      </c>
      <c r="E19" s="120" t="s">
        <v>210</v>
      </c>
    </row>
    <row r="20" spans="1:6" s="2" customFormat="1">
      <c r="A20" s="117">
        <v>45182</v>
      </c>
      <c r="B20" s="118">
        <v>30.65</v>
      </c>
      <c r="C20" s="119" t="s">
        <v>199</v>
      </c>
      <c r="D20" s="119" t="s">
        <v>214</v>
      </c>
      <c r="E20" s="120" t="s">
        <v>209</v>
      </c>
      <c r="F20" s="1"/>
    </row>
    <row r="21" spans="1:6" s="2" customFormat="1">
      <c r="A21" s="117">
        <v>45182</v>
      </c>
      <c r="B21" s="118">
        <v>11.5</v>
      </c>
      <c r="C21" s="119" t="s">
        <v>199</v>
      </c>
      <c r="D21" s="119" t="s">
        <v>213</v>
      </c>
      <c r="E21" s="120" t="s">
        <v>209</v>
      </c>
      <c r="F21" s="1"/>
    </row>
    <row r="22" spans="1:6" s="2" customFormat="1">
      <c r="A22" s="117">
        <v>45195</v>
      </c>
      <c r="B22" s="118">
        <v>25</v>
      </c>
      <c r="C22" s="119" t="s">
        <v>202</v>
      </c>
      <c r="D22" s="119" t="s">
        <v>213</v>
      </c>
      <c r="E22" s="120" t="s">
        <v>208</v>
      </c>
      <c r="F22" s="1"/>
    </row>
    <row r="23" spans="1:6" s="2" customFormat="1">
      <c r="A23" s="117">
        <v>45209</v>
      </c>
      <c r="B23" s="118">
        <v>580</v>
      </c>
      <c r="C23" s="122" t="s">
        <v>230</v>
      </c>
      <c r="D23" s="122" t="s">
        <v>207</v>
      </c>
      <c r="E23" s="123"/>
    </row>
    <row r="24" spans="1:6" s="2" customFormat="1">
      <c r="A24" s="117">
        <v>45211</v>
      </c>
      <c r="B24" s="118">
        <v>24.6</v>
      </c>
      <c r="C24" s="119" t="s">
        <v>231</v>
      </c>
      <c r="D24" s="119" t="s">
        <v>212</v>
      </c>
      <c r="E24" s="120" t="s">
        <v>210</v>
      </c>
      <c r="F24" s="1"/>
    </row>
    <row r="25" spans="1:6" s="2" customFormat="1">
      <c r="A25" s="117">
        <v>45217</v>
      </c>
      <c r="B25" s="118">
        <v>5</v>
      </c>
      <c r="C25" s="119" t="s">
        <v>232</v>
      </c>
      <c r="D25" s="119" t="s">
        <v>212</v>
      </c>
      <c r="E25" s="120" t="s">
        <v>210</v>
      </c>
      <c r="F25" s="1"/>
    </row>
    <row r="26" spans="1:6" s="2" customFormat="1">
      <c r="A26" s="117">
        <v>45265</v>
      </c>
      <c r="B26" s="118">
        <v>141.78</v>
      </c>
      <c r="C26" s="119" t="s">
        <v>286</v>
      </c>
      <c r="D26" s="119" t="s">
        <v>213</v>
      </c>
      <c r="E26" s="120" t="s">
        <v>210</v>
      </c>
      <c r="F26" s="1"/>
    </row>
    <row r="27" spans="1:6" s="2" customFormat="1">
      <c r="A27" s="117">
        <v>45271</v>
      </c>
      <c r="B27" s="118">
        <v>24.6</v>
      </c>
      <c r="C27" s="119" t="s">
        <v>287</v>
      </c>
      <c r="D27" s="119" t="s">
        <v>212</v>
      </c>
      <c r="E27" s="120" t="s">
        <v>210</v>
      </c>
      <c r="F27" s="1"/>
    </row>
    <row r="28" spans="1:6" s="2" customFormat="1">
      <c r="A28" s="117">
        <v>45326</v>
      </c>
      <c r="B28" s="118">
        <v>34.68</v>
      </c>
      <c r="C28" s="119" t="s">
        <v>216</v>
      </c>
      <c r="D28" s="119" t="s">
        <v>213</v>
      </c>
      <c r="E28" s="120" t="s">
        <v>215</v>
      </c>
      <c r="F28" s="1"/>
    </row>
    <row r="29" spans="1:6" s="2" customFormat="1">
      <c r="A29" s="117">
        <v>45336</v>
      </c>
      <c r="B29" s="118">
        <v>69.5</v>
      </c>
      <c r="C29" s="119" t="s">
        <v>233</v>
      </c>
      <c r="D29" s="119" t="s">
        <v>229</v>
      </c>
      <c r="E29" s="120" t="s">
        <v>276</v>
      </c>
      <c r="F29" s="1"/>
    </row>
    <row r="30" spans="1:6" s="2" customFormat="1">
      <c r="A30" s="117">
        <v>45365</v>
      </c>
      <c r="B30" s="118">
        <v>15.03</v>
      </c>
      <c r="C30" s="119" t="s">
        <v>270</v>
      </c>
      <c r="D30" s="119" t="s">
        <v>213</v>
      </c>
      <c r="E30" s="120" t="s">
        <v>275</v>
      </c>
      <c r="F30" s="1"/>
    </row>
    <row r="31" spans="1:6" s="2" customFormat="1">
      <c r="A31" s="117">
        <v>45371</v>
      </c>
      <c r="B31" s="118">
        <v>20.6</v>
      </c>
      <c r="C31" s="119" t="s">
        <v>234</v>
      </c>
      <c r="D31" s="119" t="s">
        <v>214</v>
      </c>
      <c r="E31" s="120" t="s">
        <v>210</v>
      </c>
      <c r="F31" s="1"/>
    </row>
    <row r="32" spans="1:6" s="2" customFormat="1">
      <c r="A32" s="117">
        <v>45372</v>
      </c>
      <c r="B32" s="118">
        <v>12.6</v>
      </c>
      <c r="C32" s="119" t="s">
        <v>235</v>
      </c>
      <c r="D32" s="119" t="s">
        <v>214</v>
      </c>
      <c r="E32" s="120" t="s">
        <v>210</v>
      </c>
      <c r="F32" s="1"/>
    </row>
    <row r="33" spans="1:6" s="2" customFormat="1">
      <c r="A33" s="117">
        <v>45399</v>
      </c>
      <c r="B33" s="118">
        <v>3.3</v>
      </c>
      <c r="C33" s="119" t="s">
        <v>235</v>
      </c>
      <c r="D33" s="122" t="s">
        <v>212</v>
      </c>
      <c r="E33" s="123" t="s">
        <v>210</v>
      </c>
    </row>
    <row r="34" spans="1:6" s="2" customFormat="1">
      <c r="A34" s="117">
        <v>45414</v>
      </c>
      <c r="B34" s="118">
        <v>17.91</v>
      </c>
      <c r="C34" s="122" t="s">
        <v>274</v>
      </c>
      <c r="D34" s="122" t="s">
        <v>213</v>
      </c>
      <c r="E34" s="123" t="s">
        <v>272</v>
      </c>
    </row>
    <row r="35" spans="1:6" s="2" customFormat="1">
      <c r="A35" s="117">
        <v>45415</v>
      </c>
      <c r="B35" s="118">
        <v>29.28</v>
      </c>
      <c r="C35" s="122" t="s">
        <v>274</v>
      </c>
      <c r="D35" s="122" t="s">
        <v>213</v>
      </c>
      <c r="E35" s="123" t="s">
        <v>272</v>
      </c>
    </row>
    <row r="36" spans="1:6" s="2" customFormat="1">
      <c r="A36" s="117">
        <v>45467</v>
      </c>
      <c r="B36" s="118">
        <v>20.440000000000001</v>
      </c>
      <c r="C36" s="122" t="s">
        <v>266</v>
      </c>
      <c r="D36" s="122" t="s">
        <v>273</v>
      </c>
      <c r="E36" s="123" t="s">
        <v>269</v>
      </c>
    </row>
    <row r="37" spans="1:6" s="2" customFormat="1" ht="13" hidden="1" thickBot="1">
      <c r="A37" s="140" t="s">
        <v>271</v>
      </c>
      <c r="B37" s="141"/>
      <c r="C37" s="141">
        <v>45467</v>
      </c>
      <c r="D37" s="142">
        <v>20.440000000000001</v>
      </c>
      <c r="E37" s="100"/>
    </row>
    <row r="38" spans="1:6" ht="34.5" customHeight="1">
      <c r="A38" s="53" t="s">
        <v>154</v>
      </c>
      <c r="B38" s="62">
        <f>SUM(B11:B37)</f>
        <v>1427.8599999999997</v>
      </c>
      <c r="C38" s="70" t="str">
        <f>IF(SUBTOTAL(3,B11:B37)=SUBTOTAL(103,B11:B37),'Summary and sign-off'!$A$48,'Summary and sign-off'!$A$49)</f>
        <v>Check - there are no hidden rows with data</v>
      </c>
      <c r="D38" s="154" t="str">
        <f>IF('Summary and sign-off'!F59='Summary and sign-off'!F54,'Summary and sign-off'!A51,'Summary and sign-off'!A50)</f>
        <v>Check - each entry provides sufficient information</v>
      </c>
      <c r="E38" s="154"/>
    </row>
    <row r="39" spans="1:6" ht="14.15" customHeight="1">
      <c r="B39" s="17"/>
      <c r="C39" s="17"/>
      <c r="D39" s="17"/>
      <c r="E39" s="17"/>
    </row>
    <row r="40" spans="1:6" ht="13">
      <c r="A40" s="18" t="s">
        <v>155</v>
      </c>
      <c r="B40" s="17"/>
      <c r="C40" s="17"/>
      <c r="D40" s="17"/>
      <c r="E40" s="17"/>
    </row>
    <row r="41" spans="1:6" ht="12.65" customHeight="1">
      <c r="A41" s="20" t="s">
        <v>133</v>
      </c>
      <c r="B41" s="17"/>
      <c r="C41" s="17"/>
      <c r="D41" s="17"/>
      <c r="E41" s="17"/>
    </row>
    <row r="42" spans="1:6" ht="13">
      <c r="A42" s="20" t="s">
        <v>80</v>
      </c>
      <c r="B42" s="19"/>
      <c r="C42" s="17"/>
      <c r="D42" s="17"/>
      <c r="E42" s="17"/>
      <c r="F42" s="17"/>
    </row>
    <row r="43" spans="1:6">
      <c r="A43" s="20" t="s">
        <v>147</v>
      </c>
      <c r="C43" s="17"/>
      <c r="D43" s="17"/>
      <c r="E43" s="17"/>
      <c r="F43" s="17"/>
    </row>
    <row r="44" spans="1:6" ht="12.75" customHeight="1">
      <c r="A44" s="20" t="s">
        <v>148</v>
      </c>
      <c r="B44" s="25"/>
      <c r="C44" s="22"/>
      <c r="D44" s="22"/>
      <c r="E44" s="22"/>
      <c r="F44" s="22"/>
    </row>
    <row r="45" spans="1:6">
      <c r="B45" s="26"/>
      <c r="C45" s="17"/>
      <c r="D45" s="17"/>
      <c r="E45" s="17"/>
    </row>
    <row r="46" spans="1:6" hidden="1">
      <c r="A46" s="17"/>
      <c r="B46" s="17"/>
      <c r="C46" s="17"/>
      <c r="D46" s="17"/>
    </row>
    <row r="47" spans="1:6" ht="12.75" hidden="1" customHeight="1"/>
    <row r="48" spans="1:6" hidden="1">
      <c r="A48" s="17"/>
      <c r="B48" s="17"/>
      <c r="C48" s="17"/>
      <c r="D48" s="17"/>
      <c r="E48" s="17"/>
    </row>
    <row r="49" spans="1:5" hidden="1">
      <c r="A49" s="17"/>
      <c r="B49" s="17"/>
      <c r="C49" s="17"/>
      <c r="D49" s="17"/>
      <c r="E49" s="17"/>
    </row>
    <row r="50" spans="1:5" hidden="1">
      <c r="A50" s="17"/>
      <c r="B50" s="17"/>
      <c r="C50" s="17"/>
      <c r="D50" s="17"/>
      <c r="E50" s="17"/>
    </row>
    <row r="51" spans="1:5" hidden="1">
      <c r="A51" s="17"/>
      <c r="B51" s="17"/>
      <c r="C51" s="17"/>
      <c r="D51" s="17"/>
      <c r="E51" s="17"/>
    </row>
    <row r="52" spans="1:5" hidden="1">
      <c r="A52" s="17"/>
      <c r="B52" s="17"/>
      <c r="C52" s="17"/>
      <c r="D52" s="17"/>
      <c r="E52" s="17"/>
    </row>
    <row r="53" spans="1:5"/>
    <row r="54" spans="1:5"/>
    <row r="55" spans="1:5"/>
    <row r="56" spans="1:5"/>
    <row r="57" spans="1:5"/>
    <row r="58" spans="1:5"/>
    <row r="59" spans="1:5"/>
    <row r="60" spans="1:5"/>
    <row r="61" spans="1:5"/>
    <row r="62" spans="1:5"/>
    <row r="63" spans="1:5"/>
    <row r="64" spans="1:5"/>
    <row r="65"/>
    <row r="66"/>
    <row r="67"/>
    <row r="68"/>
    <row r="69"/>
    <row r="70"/>
    <row r="71"/>
  </sheetData>
  <sheetProtection sheet="1" formatCells="0" insertRows="0" deleteRows="0"/>
  <mergeCells count="10">
    <mergeCell ref="D38:E38"/>
    <mergeCell ref="B6:E6"/>
    <mergeCell ref="B5:E5"/>
    <mergeCell ref="B7:E7"/>
    <mergeCell ref="A1:E1"/>
    <mergeCell ref="B2:E2"/>
    <mergeCell ref="B3:E3"/>
    <mergeCell ref="B4:E4"/>
    <mergeCell ref="A9:E9"/>
    <mergeCell ref="A8:E8"/>
  </mergeCells>
  <dataValidations xWindow="772" yWindow="48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772" yWindow="487"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85" zoomScaleNormal="85" workbookViewId="0">
      <selection activeCell="B7" sqref="B7:F7"/>
    </sheetView>
  </sheetViews>
  <sheetFormatPr defaultColWidth="0" defaultRowHeight="12.5" zeroHeight="1"/>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c r="A1" s="155" t="s">
        <v>156</v>
      </c>
      <c r="B1" s="155"/>
      <c r="C1" s="155"/>
      <c r="D1" s="155"/>
      <c r="E1" s="155"/>
      <c r="F1" s="155"/>
    </row>
    <row r="2" spans="1:6" ht="21" customHeight="1">
      <c r="A2" s="3" t="s">
        <v>111</v>
      </c>
      <c r="B2" s="153" t="str">
        <f>'Summary and sign-off'!B2:F2</f>
        <v>New Zealand Police</v>
      </c>
      <c r="C2" s="153"/>
      <c r="D2" s="153"/>
      <c r="E2" s="153"/>
      <c r="F2" s="153"/>
    </row>
    <row r="3" spans="1:6" ht="31">
      <c r="A3" s="3" t="s">
        <v>112</v>
      </c>
      <c r="B3" s="153" t="str">
        <f>'Summary and sign-off'!B3:F3</f>
        <v>Andrew Coster</v>
      </c>
      <c r="C3" s="153"/>
      <c r="D3" s="153"/>
      <c r="E3" s="153"/>
      <c r="F3" s="153"/>
    </row>
    <row r="4" spans="1:6" ht="21" customHeight="1">
      <c r="A4" s="3" t="s">
        <v>113</v>
      </c>
      <c r="B4" s="153">
        <f>'Summary and sign-off'!B4:F4</f>
        <v>45108</v>
      </c>
      <c r="C4" s="153"/>
      <c r="D4" s="153"/>
      <c r="E4" s="153"/>
      <c r="F4" s="153"/>
    </row>
    <row r="5" spans="1:6" ht="21" customHeight="1">
      <c r="A5" s="3" t="s">
        <v>114</v>
      </c>
      <c r="B5" s="153">
        <f>'Summary and sign-off'!B5:F5</f>
        <v>45473</v>
      </c>
      <c r="C5" s="153"/>
      <c r="D5" s="153"/>
      <c r="E5" s="153"/>
      <c r="F5" s="153"/>
    </row>
    <row r="6" spans="1:6" ht="21" customHeight="1">
      <c r="A6" s="3" t="s">
        <v>157</v>
      </c>
      <c r="B6" s="148" t="s">
        <v>81</v>
      </c>
      <c r="C6" s="148"/>
      <c r="D6" s="148"/>
      <c r="E6" s="148"/>
      <c r="F6" s="148"/>
    </row>
    <row r="7" spans="1:6" ht="21" customHeight="1">
      <c r="A7" s="3" t="s">
        <v>56</v>
      </c>
      <c r="B7" s="148" t="s">
        <v>84</v>
      </c>
      <c r="C7" s="148"/>
      <c r="D7" s="148"/>
      <c r="E7" s="148"/>
      <c r="F7" s="148"/>
    </row>
    <row r="8" spans="1:6" ht="36" customHeight="1">
      <c r="A8" s="158" t="s">
        <v>158</v>
      </c>
      <c r="B8" s="158"/>
      <c r="C8" s="158"/>
      <c r="D8" s="158"/>
      <c r="E8" s="158"/>
      <c r="F8" s="158"/>
    </row>
    <row r="9" spans="1:6" ht="36" customHeight="1">
      <c r="A9" s="166" t="s">
        <v>159</v>
      </c>
      <c r="B9" s="167"/>
      <c r="C9" s="167"/>
      <c r="D9" s="167"/>
      <c r="E9" s="167"/>
      <c r="F9" s="167"/>
    </row>
    <row r="10" spans="1:6" ht="39" customHeight="1">
      <c r="A10" s="24" t="s">
        <v>119</v>
      </c>
      <c r="B10" s="112" t="s">
        <v>160</v>
      </c>
      <c r="C10" s="112" t="s">
        <v>161</v>
      </c>
      <c r="D10" s="112" t="s">
        <v>162</v>
      </c>
      <c r="E10" s="112" t="s">
        <v>163</v>
      </c>
      <c r="F10" s="112" t="s">
        <v>164</v>
      </c>
    </row>
    <row r="11" spans="1:6" s="2" customFormat="1">
      <c r="A11" s="117"/>
      <c r="B11" s="122"/>
      <c r="C11" s="125"/>
      <c r="D11" s="122"/>
      <c r="E11" s="126"/>
      <c r="F11" s="123"/>
    </row>
    <row r="12" spans="1:6" s="2" customFormat="1">
      <c r="A12" s="117"/>
      <c r="B12" s="124"/>
      <c r="C12" s="125"/>
      <c r="D12" s="124"/>
      <c r="E12" s="126"/>
      <c r="F12" s="127"/>
    </row>
    <row r="13" spans="1:6" s="2" customFormat="1">
      <c r="A13" s="117"/>
      <c r="B13" s="124"/>
      <c r="C13" s="125"/>
      <c r="D13" s="124"/>
      <c r="E13" s="126"/>
      <c r="F13" s="127"/>
    </row>
    <row r="14" spans="1:6" s="2" customFormat="1">
      <c r="A14" s="117"/>
      <c r="B14" s="124"/>
      <c r="C14" s="125"/>
      <c r="D14" s="124"/>
      <c r="E14" s="126"/>
      <c r="F14" s="127"/>
    </row>
    <row r="15" spans="1:6" s="2" customFormat="1">
      <c r="A15" s="117"/>
      <c r="B15" s="124"/>
      <c r="C15" s="125"/>
      <c r="D15" s="124"/>
      <c r="E15" s="126"/>
      <c r="F15" s="127"/>
    </row>
    <row r="16" spans="1:6" s="2" customFormat="1">
      <c r="A16" s="117"/>
      <c r="B16" s="124"/>
      <c r="C16" s="125"/>
      <c r="D16" s="124"/>
      <c r="E16" s="126"/>
      <c r="F16" s="127"/>
    </row>
    <row r="17" spans="1:7" s="2" customFormat="1">
      <c r="A17" s="117"/>
      <c r="B17" s="124"/>
      <c r="C17" s="125"/>
      <c r="D17" s="124"/>
      <c r="E17" s="126"/>
      <c r="F17" s="127"/>
    </row>
    <row r="18" spans="1:7" s="2" customFormat="1">
      <c r="A18" s="117"/>
      <c r="B18" s="124"/>
      <c r="C18" s="125"/>
      <c r="D18" s="124"/>
      <c r="E18" s="126"/>
      <c r="F18" s="127"/>
    </row>
    <row r="19" spans="1:7" s="2" customFormat="1">
      <c r="A19" s="117"/>
      <c r="B19" s="124"/>
      <c r="C19" s="125"/>
      <c r="D19" s="124"/>
      <c r="E19" s="126"/>
      <c r="F19" s="127"/>
    </row>
    <row r="20" spans="1:7" s="2" customFormat="1">
      <c r="A20" s="117"/>
      <c r="B20" s="124"/>
      <c r="C20" s="125"/>
      <c r="D20" s="124"/>
      <c r="E20" s="126"/>
      <c r="F20" s="127"/>
    </row>
    <row r="21" spans="1:7" s="2" customFormat="1">
      <c r="A21" s="117"/>
      <c r="B21" s="124"/>
      <c r="C21" s="125"/>
      <c r="D21" s="124"/>
      <c r="E21" s="126"/>
      <c r="F21" s="127"/>
    </row>
    <row r="22" spans="1:7" s="2" customFormat="1">
      <c r="A22" s="117"/>
      <c r="B22" s="124"/>
      <c r="C22" s="125"/>
      <c r="D22" s="124"/>
      <c r="E22" s="126"/>
      <c r="F22" s="127"/>
    </row>
    <row r="23" spans="1:7" s="2" customFormat="1">
      <c r="A23" s="117"/>
      <c r="B23" s="124"/>
      <c r="C23" s="125"/>
      <c r="D23" s="124"/>
      <c r="E23" s="126"/>
      <c r="F23" s="127"/>
    </row>
    <row r="24" spans="1:7" s="2" customFormat="1" hidden="1">
      <c r="A24" s="94"/>
      <c r="B24" s="99"/>
      <c r="C24" s="101"/>
      <c r="D24" s="99"/>
      <c r="E24" s="102"/>
      <c r="F24" s="100"/>
    </row>
    <row r="25" spans="1:7" ht="34.5" customHeight="1">
      <c r="A25" s="113" t="s">
        <v>165</v>
      </c>
      <c r="B25" s="114" t="s">
        <v>166</v>
      </c>
      <c r="C25" s="115">
        <f>C26+C27</f>
        <v>0</v>
      </c>
      <c r="D25" s="116" t="str">
        <f>IF(SUBTOTAL(3,C11:C24)=SUBTOTAL(103,C11:C24),'Summary and sign-off'!$A$48,'Summary and sign-off'!$A$49)</f>
        <v>Check - there are no hidden rows with data</v>
      </c>
      <c r="E25" s="154" t="str">
        <f>IF('Summary and sign-off'!F60='Summary and sign-off'!F54,'Summary and sign-off'!A52,'Summary and sign-off'!A50)</f>
        <v>Check - each entry provides sufficient information</v>
      </c>
      <c r="F25" s="154"/>
      <c r="G25" s="2"/>
    </row>
    <row r="26" spans="1:7" ht="25.5" customHeight="1">
      <c r="A26" s="54"/>
      <c r="B26" s="55" t="s">
        <v>97</v>
      </c>
      <c r="C26" s="56">
        <f>COUNTIF(C11:C24,'Summary and sign-off'!A45)</f>
        <v>0</v>
      </c>
      <c r="D26" s="14"/>
      <c r="E26" s="15"/>
      <c r="F26" s="16"/>
    </row>
    <row r="27" spans="1:7" ht="25.5" customHeight="1">
      <c r="A27" s="54"/>
      <c r="B27" s="55" t="s">
        <v>98</v>
      </c>
      <c r="C27" s="56">
        <f>COUNTIF(C11:C24,'Summary and sign-off'!A46)</f>
        <v>0</v>
      </c>
      <c r="D27" s="14"/>
      <c r="E27" s="15"/>
      <c r="F27" s="16"/>
    </row>
    <row r="28" spans="1:7" ht="13">
      <c r="A28" s="17"/>
      <c r="B28" s="18"/>
      <c r="C28" s="17"/>
      <c r="D28" s="19"/>
      <c r="E28" s="19"/>
      <c r="F28" s="17"/>
    </row>
    <row r="29" spans="1:7" ht="13">
      <c r="A29" s="18" t="s">
        <v>155</v>
      </c>
      <c r="B29" s="18"/>
      <c r="C29" s="18"/>
      <c r="D29" s="18"/>
      <c r="E29" s="18"/>
      <c r="F29" s="18"/>
    </row>
    <row r="30" spans="1:7" ht="12.65" customHeight="1">
      <c r="A30" s="20" t="s">
        <v>133</v>
      </c>
      <c r="B30" s="17"/>
      <c r="C30" s="17"/>
      <c r="D30" s="17"/>
      <c r="E30" s="17"/>
    </row>
    <row r="31" spans="1:7" ht="13">
      <c r="A31" s="20" t="s">
        <v>80</v>
      </c>
      <c r="B31" s="19"/>
      <c r="C31" s="17"/>
      <c r="D31" s="17"/>
      <c r="E31" s="17"/>
      <c r="F31" s="17"/>
    </row>
    <row r="32" spans="1:7" ht="13">
      <c r="A32" s="20" t="s">
        <v>167</v>
      </c>
      <c r="B32" s="21"/>
      <c r="C32" s="21"/>
      <c r="D32" s="21"/>
      <c r="E32" s="21"/>
      <c r="F32" s="21"/>
    </row>
    <row r="33" spans="1:6" ht="12.75" customHeight="1">
      <c r="A33" s="20" t="s">
        <v>168</v>
      </c>
      <c r="B33" s="17"/>
      <c r="C33" s="17"/>
      <c r="D33" s="17"/>
      <c r="E33" s="17"/>
      <c r="F33" s="17"/>
    </row>
    <row r="34" spans="1:6" ht="13" customHeight="1">
      <c r="A34" s="20" t="s">
        <v>169</v>
      </c>
      <c r="B34" s="17"/>
      <c r="C34" s="17"/>
      <c r="D34" s="17"/>
      <c r="E34" s="17"/>
      <c r="F34" s="17"/>
    </row>
    <row r="35" spans="1:6">
      <c r="A35" s="20" t="s">
        <v>170</v>
      </c>
      <c r="C35" s="17"/>
      <c r="D35" s="17"/>
      <c r="E35" s="17"/>
      <c r="F35" s="17"/>
    </row>
    <row r="36" spans="1:6" ht="12.75" customHeight="1">
      <c r="A36" s="20" t="s">
        <v>148</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t="13" hidden="1">
      <c r="A41" s="18"/>
      <c r="B41" s="18"/>
      <c r="C41" s="18"/>
      <c r="D41" s="18"/>
      <c r="E41" s="18"/>
      <c r="F41" s="18"/>
    </row>
    <row r="42" spans="1:6" ht="13" hidden="1">
      <c r="A42" s="18"/>
      <c r="B42" s="18"/>
      <c r="C42" s="18"/>
      <c r="D42" s="18"/>
      <c r="E42" s="18"/>
      <c r="F42" s="18"/>
    </row>
    <row r="43" spans="1:6" ht="13" hidden="1">
      <c r="A43" s="18"/>
      <c r="B43" s="18"/>
      <c r="C43" s="18"/>
      <c r="D43" s="18"/>
      <c r="E43" s="18"/>
      <c r="F43" s="18"/>
    </row>
    <row r="44" spans="1:6" ht="13" hidden="1">
      <c r="A44" s="18"/>
      <c r="B44" s="18"/>
      <c r="C44" s="18"/>
      <c r="D44" s="18"/>
      <c r="E44" s="18"/>
      <c r="F44" s="18"/>
    </row>
    <row r="45" spans="1:6" ht="13" hidden="1">
      <c r="A45" s="18"/>
      <c r="B45" s="18"/>
      <c r="C45" s="18"/>
      <c r="D45" s="18"/>
      <c r="E45" s="18"/>
      <c r="F45" s="18"/>
    </row>
  </sheetData>
  <sheetProtection sheet="1" formatCells="0" insertRows="0" deleteRows="0"/>
  <dataConsolidate link="1"/>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cp:revision/>
  <dcterms:created xsi:type="dcterms:W3CDTF">2010-10-17T20:59:02Z</dcterms:created>
  <dcterms:modified xsi:type="dcterms:W3CDTF">2024-07-30T11:31:37Z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